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Отчет" sheetId="1" r:id="rId1"/>
    <sheet name="Доходы" sheetId="2" r:id="rId2"/>
    <sheet name="КР" sheetId="3" r:id="rId3"/>
  </sheets>
  <definedNames/>
  <calcPr fullCalcOnLoad="1" refMode="R1C1"/>
</workbook>
</file>

<file path=xl/sharedStrings.xml><?xml version="1.0" encoding="utf-8"?>
<sst xmlns="http://schemas.openxmlformats.org/spreadsheetml/2006/main" count="138" uniqueCount="110">
  <si>
    <t>Сод. жилья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</si>
  <si>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</si>
  <si>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</si>
  <si>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</si>
  <si>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</si>
  <si>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</si>
  <si>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</si>
  <si>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</si>
  <si>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Отопление</t>
  </si>
  <si>
    <t>Гор/вода</t>
  </si>
  <si>
    <t>Услуги банка</t>
  </si>
  <si>
    <t>Октябрь</t>
  </si>
  <si>
    <t>Ноябрь</t>
  </si>
  <si>
    <t>Декабрь</t>
  </si>
  <si>
    <t>Долг</t>
  </si>
  <si>
    <t>Итого:</t>
  </si>
  <si>
    <t>Содержание жилья</t>
  </si>
  <si>
    <t>Коммунальные услуги</t>
  </si>
  <si>
    <t xml:space="preserve">Процент оплаты за ЖКУ </t>
  </si>
  <si>
    <t>УМП "ЕРКЦ г. Томска" (ведение л/с, печать плат. док.)</t>
  </si>
  <si>
    <t>Теплоэнергия</t>
  </si>
  <si>
    <t>Таблица № 1</t>
  </si>
  <si>
    <t>Январь</t>
  </si>
  <si>
    <t>Февраль</t>
  </si>
  <si>
    <t>Март</t>
  </si>
  <si>
    <t>Домофон</t>
  </si>
  <si>
    <t>Лифт</t>
  </si>
  <si>
    <t>Прочие доходы</t>
  </si>
  <si>
    <t>Таблица № 2</t>
  </si>
  <si>
    <t>Водоснабжение</t>
  </si>
  <si>
    <t>ВЦ</t>
  </si>
  <si>
    <t>Текущий ремонт</t>
  </si>
  <si>
    <t>Услуги охраны</t>
  </si>
  <si>
    <t>Хол/вода</t>
  </si>
  <si>
    <t>х/вода ГВС</t>
  </si>
  <si>
    <t>Услуги ВЦ</t>
  </si>
  <si>
    <t>Уб. Подъездов</t>
  </si>
  <si>
    <t>Водоотведение</t>
  </si>
  <si>
    <t>Председатель правления ТСЖ "Тихий"</t>
  </si>
  <si>
    <t>А.В. Арзамасцева</t>
  </si>
  <si>
    <t>Электроэнергия</t>
  </si>
  <si>
    <t>Содержание инж. систем</t>
  </si>
  <si>
    <t>Подготовка к отопительному сезону</t>
  </si>
  <si>
    <t>Вз. Задолж</t>
  </si>
  <si>
    <t>год</t>
  </si>
  <si>
    <t>месяц</t>
  </si>
  <si>
    <t>начислено</t>
  </si>
  <si>
    <t>оплачено</t>
  </si>
  <si>
    <t>долг</t>
  </si>
  <si>
    <t>итого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</si>
  <si>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</si>
  <si>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</si>
  <si>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</si>
  <si>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</si>
  <si>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</si>
  <si>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</si>
  <si>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</si>
  <si>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</si>
  <si>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</si>
  <si>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</si>
  <si>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</si>
  <si>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</si>
  <si>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Прочие доходы (арендаторы)</t>
  </si>
  <si>
    <t>Уборка территории</t>
  </si>
  <si>
    <t>ООО "Домофон-сервис"</t>
  </si>
  <si>
    <t>ТСЖ "Тихий"</t>
  </si>
  <si>
    <t>Оплачено собственниками и арендаторами</t>
  </si>
  <si>
    <t xml:space="preserve">Оплачено фактически со счета ТСЖ </t>
  </si>
  <si>
    <t xml:space="preserve">Текущий остаток на счете кап рем. ТСЖ </t>
  </si>
  <si>
    <t>Фактически оплачено провайдерами</t>
  </si>
  <si>
    <t>ООО "ТОМСКЛИФТРЕМОНТ"</t>
  </si>
  <si>
    <t>Капитальный ремонт</t>
  </si>
  <si>
    <t>жилые</t>
  </si>
  <si>
    <t>нежилые</t>
  </si>
  <si>
    <t>Начислено собственникам квартир за период с 01.01.2016 по 31.12.2016</t>
  </si>
  <si>
    <t>Сальдо на 01.01.2016</t>
  </si>
  <si>
    <t>Всего начислено за 1 квартал 2016 года</t>
  </si>
  <si>
    <t>Всего начислено за 2 квартал 2016 года</t>
  </si>
  <si>
    <t>Всего начислено за 3 квартал 2016 года</t>
  </si>
  <si>
    <t>Всего начислено за 4 квартал 2016 года</t>
  </si>
  <si>
    <t>Всего начислено за январь-декабрь 2016 года</t>
  </si>
  <si>
    <t>Оплата</t>
  </si>
  <si>
    <t>Задолженность собственников на 01.01.2016</t>
  </si>
  <si>
    <t>Начислено собственникам на 31.12.2016</t>
  </si>
  <si>
    <t>Оплачено собственниками на 31.12.2016</t>
  </si>
  <si>
    <t>Задолженность собственников квартир на 31.12.2016 в том числе за декабрь 2016 года</t>
  </si>
  <si>
    <t>Задолженность собственников на 31.12.2016 за декабрь 2016 года</t>
  </si>
  <si>
    <t>Остаток ср-в на рабочем р\с на 01.01.2016</t>
  </si>
  <si>
    <t>АО "ТомскРТС"</t>
  </si>
  <si>
    <t>Отчет о финансово-хозяйственной деятельности ТСЖ "Тихий" за 2016 год</t>
  </si>
  <si>
    <t>Установка козырька над 3 подъездом</t>
  </si>
  <si>
    <t>Благоустройство территории</t>
  </si>
  <si>
    <t xml:space="preserve">Переоборудование 12 мест освещения общ. имущества </t>
  </si>
  <si>
    <t>Обследование и ремонт части вытяжных шахт</t>
  </si>
  <si>
    <t>Заработная плата, взносы с ФОТ</t>
  </si>
  <si>
    <t>Вывоз ТБО</t>
  </si>
  <si>
    <t>Бухгалтерское сопровождение</t>
  </si>
  <si>
    <t>Услуги интернета, связи</t>
  </si>
  <si>
    <t>Хоз. Расходы, канцтовары</t>
  </si>
  <si>
    <t>Очистка козырьков, уборка и вывоз снега</t>
  </si>
  <si>
    <t>Доводчики</t>
  </si>
  <si>
    <t>Непредвиденные расходы</t>
  </si>
  <si>
    <t>Налоги, страхование лифта</t>
  </si>
  <si>
    <t>Текущий остаток ср-в на рабочем р/с на 01.01.2017</t>
  </si>
  <si>
    <t>Начислено собственникам</t>
  </si>
  <si>
    <t>Затрачено факт (на основании актов и счет-фактур и др.)</t>
  </si>
  <si>
    <t>ООО "ТРЦ" (Водоканал)</t>
  </si>
  <si>
    <t>по 1с</t>
  </si>
  <si>
    <t>разница</t>
  </si>
  <si>
    <t>Ключ ЭЦП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</si>
</sst>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vertical="center" wrapText="1" shrinkToFi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 wrapText="1" shrinkToFit="1"/>
      <protection/>
    </xf>
    <xf numFmtId="0" fontId="5" fillId="0" borderId="0" xfId="52" applyFont="1">
      <alignment/>
      <protection/>
    </xf>
    <xf numFmtId="0" fontId="8" fillId="0" borderId="0" xfId="0" applyFont="1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10" xfId="52" applyFont="1" applyBorder="1" applyAlignment="1">
      <alignment horizontal="right"/>
      <protection/>
    </xf>
    <xf numFmtId="4" fontId="8" fillId="0" borderId="0" xfId="0" applyNumberFormat="1" applyFont="1" applyAlignment="1">
      <alignment/>
    </xf>
    <xf numFmtId="0" fontId="6" fillId="0" borderId="10" xfId="52" applyFont="1" applyBorder="1" applyAlignment="1">
      <alignment horizontal="left" vertical="center"/>
      <protection/>
    </xf>
    <xf numFmtId="4" fontId="5" fillId="0" borderId="10" xfId="52" applyNumberFormat="1" applyFont="1" applyBorder="1" applyAlignment="1">
      <alignment horizontal="right" vertical="center"/>
      <protection/>
    </xf>
    <xf numFmtId="4" fontId="6" fillId="0" borderId="10" xfId="52" applyNumberFormat="1" applyFont="1" applyBorder="1" applyAlignment="1">
      <alignment horizontal="right" vertical="center"/>
      <protection/>
    </xf>
    <xf numFmtId="0" fontId="8" fillId="0" borderId="11" xfId="0" applyFont="1" applyBorder="1" applyAlignment="1">
      <alignment/>
    </xf>
    <xf numFmtId="0" fontId="5" fillId="0" borderId="10" xfId="52" applyFont="1" applyBorder="1" applyAlignment="1">
      <alignment horizontal="left" wrapText="1"/>
      <protection/>
    </xf>
    <xf numFmtId="0" fontId="5" fillId="0" borderId="10" xfId="52" applyFont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52" applyNumberFormat="1" applyFont="1" applyBorder="1" applyAlignment="1">
      <alignment horizontal="right" vertical="center" wrapText="1"/>
      <protection/>
    </xf>
    <xf numFmtId="4" fontId="5" fillId="0" borderId="10" xfId="52" applyNumberFormat="1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5" fillId="0" borderId="12" xfId="52" applyFont="1" applyBorder="1">
      <alignment/>
      <protection/>
    </xf>
    <xf numFmtId="0" fontId="5" fillId="0" borderId="12" xfId="52" applyFont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/>
    </xf>
    <xf numFmtId="4" fontId="11" fillId="32" borderId="10" xfId="0" applyNumberFormat="1" applyFont="1" applyFill="1" applyBorder="1" applyAlignment="1">
      <alignment/>
    </xf>
    <xf numFmtId="4" fontId="11" fillId="4" borderId="10" xfId="0" applyNumberFormat="1" applyFont="1" applyFill="1" applyBorder="1" applyAlignment="1">
      <alignment/>
    </xf>
    <xf numFmtId="4" fontId="10" fillId="4" borderId="10" xfId="0" applyNumberFormat="1" applyFont="1" applyFill="1" applyBorder="1" applyAlignment="1">
      <alignment/>
    </xf>
    <xf numFmtId="4" fontId="10" fillId="0" borderId="0" xfId="0" applyNumberFormat="1" applyFont="1" applyAlignment="1">
      <alignment horizontal="center"/>
    </xf>
    <xf numFmtId="0" fontId="11" fillId="32" borderId="13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32" borderId="0" xfId="0" applyFont="1" applyFill="1" applyBorder="1" applyAlignment="1">
      <alignment/>
    </xf>
    <xf numFmtId="4" fontId="11" fillId="32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4" fontId="14" fillId="4" borderId="10" xfId="0" applyNumberFormat="1" applyFont="1" applyFill="1" applyBorder="1" applyAlignment="1">
      <alignment vertical="center"/>
    </xf>
    <xf numFmtId="10" fontId="10" fillId="4" borderId="10" xfId="0" applyNumberFormat="1" applyFont="1" applyFill="1" applyBorder="1" applyAlignment="1">
      <alignment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4" fontId="12" fillId="32" borderId="10" xfId="0" applyNumberFormat="1" applyFont="1" applyFill="1" applyBorder="1" applyAlignment="1">
      <alignment/>
    </xf>
    <xf numFmtId="4" fontId="5" fillId="0" borderId="13" xfId="52" applyNumberFormat="1" applyFont="1" applyFill="1" applyBorder="1" applyAlignment="1">
      <alignment horizontal="center" vertical="center" wrapText="1"/>
      <protection/>
    </xf>
    <xf numFmtId="4" fontId="5" fillId="0" borderId="0" xfId="52" applyNumberFormat="1" applyFont="1">
      <alignment/>
      <protection/>
    </xf>
    <xf numFmtId="0" fontId="10" fillId="32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4" fontId="6" fillId="0" borderId="10" xfId="52" applyNumberFormat="1" applyFont="1" applyFill="1" applyBorder="1" applyAlignment="1">
      <alignment horizontal="right" vertical="center"/>
      <protection/>
    </xf>
    <xf numFmtId="4" fontId="11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" fontId="1" fillId="32" borderId="10" xfId="0" applyNumberFormat="1" applyFont="1" applyFill="1" applyBorder="1" applyAlignment="1">
      <alignment/>
    </xf>
    <xf numFmtId="4" fontId="10" fillId="34" borderId="0" xfId="0" applyNumberFormat="1" applyFont="1" applyFill="1" applyAlignment="1">
      <alignment/>
    </xf>
    <xf numFmtId="4" fontId="5" fillId="35" borderId="14" xfId="52" applyNumberFormat="1" applyFont="1" applyFill="1" applyBorder="1" applyAlignment="1">
      <alignment horizontal="right" vertic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left" vertical="center"/>
      <protection/>
    </xf>
    <xf numFmtId="0" fontId="5" fillId="0" borderId="0" xfId="52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/>
    </xf>
    <xf numFmtId="4" fontId="49" fillId="0" borderId="0" xfId="52" applyNumberFormat="1" applyFont="1" applyBorder="1" applyAlignment="1">
      <alignment horizontal="center" vertical="center" wrapText="1"/>
      <protection/>
    </xf>
    <xf numFmtId="4" fontId="9" fillId="0" borderId="1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6" fillId="32" borderId="13" xfId="52" applyNumberFormat="1" applyFont="1" applyFill="1" applyBorder="1" applyAlignment="1">
      <alignment horizontal="center" vertical="center" wrapText="1"/>
      <protection/>
    </xf>
    <xf numFmtId="4" fontId="6" fillId="32" borderId="15" xfId="52" applyNumberFormat="1" applyFont="1" applyFill="1" applyBorder="1" applyAlignment="1">
      <alignment horizontal="center" vertical="center" wrapText="1"/>
      <protection/>
    </xf>
    <xf numFmtId="4" fontId="6" fillId="32" borderId="14" xfId="52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7" fillId="0" borderId="0" xfId="52" applyFont="1" applyAlignment="1">
      <alignment horizontal="center"/>
      <protection/>
    </xf>
    <xf numFmtId="4" fontId="6" fillId="0" borderId="13" xfId="52" applyNumberFormat="1" applyFont="1" applyBorder="1" applyAlignment="1">
      <alignment horizontal="center" vertical="center" wrapText="1"/>
      <protection/>
    </xf>
    <xf numFmtId="4" fontId="6" fillId="0" borderId="15" xfId="52" applyNumberFormat="1" applyFont="1" applyBorder="1" applyAlignment="1">
      <alignment horizontal="center" vertical="center" wrapText="1"/>
      <protection/>
    </xf>
    <xf numFmtId="4" fontId="6" fillId="0" borderId="14" xfId="5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" fontId="12" fillId="36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tabSelected="1" zoomScalePageLayoutView="0" workbookViewId="0" topLeftCell="A1">
      <selection activeCell="H31" sqref="H31"/>
    </sheetView>
  </sheetViews>
  <sheetFormatPr defaultColWidth="9.140625" defaultRowHeight="15"/>
  <cols>
    <col min="1" max="1" width="40.57421875" style="6" customWidth="1"/>
    <col min="2" max="8" width="16.28125" style="6" customWidth="1"/>
    <col min="9" max="9" width="12.140625" style="6" bestFit="1" customWidth="1"/>
    <col min="10" max="16384" width="9.140625" style="6" customWidth="1"/>
  </cols>
  <sheetData>
    <row r="2" ht="15.75">
      <c r="H2" s="6" t="s">
        <v>21</v>
      </c>
    </row>
    <row r="3" spans="1:8" ht="15.75">
      <c r="A3" s="5"/>
      <c r="B3" s="5"/>
      <c r="C3" s="5"/>
      <c r="D3" s="5"/>
      <c r="E3" s="5"/>
      <c r="F3" s="5"/>
      <c r="G3" s="5"/>
      <c r="H3" s="5"/>
    </row>
    <row r="4" spans="1:8" ht="18.75">
      <c r="A4" s="84" t="s">
        <v>89</v>
      </c>
      <c r="B4" s="84"/>
      <c r="C4" s="84"/>
      <c r="D4" s="84"/>
      <c r="E4" s="84"/>
      <c r="F4" s="84"/>
      <c r="G4" s="84"/>
      <c r="H4" s="84"/>
    </row>
    <row r="5" spans="1:8" ht="15.75">
      <c r="A5" s="5"/>
      <c r="B5" s="5"/>
      <c r="C5" s="5"/>
      <c r="D5" s="5"/>
      <c r="E5" s="5"/>
      <c r="F5" s="5"/>
      <c r="G5" s="5"/>
      <c r="H5" s="5"/>
    </row>
    <row r="6" spans="1:8" ht="51">
      <c r="A6" s="1"/>
      <c r="B6" s="2" t="s">
        <v>87</v>
      </c>
      <c r="C6" s="2" t="s">
        <v>104</v>
      </c>
      <c r="D6" s="2" t="s">
        <v>66</v>
      </c>
      <c r="E6" s="2" t="s">
        <v>105</v>
      </c>
      <c r="F6" s="2" t="s">
        <v>67</v>
      </c>
      <c r="G6" s="2" t="s">
        <v>103</v>
      </c>
      <c r="H6" s="2" t="s">
        <v>68</v>
      </c>
    </row>
    <row r="7" spans="1:8" ht="15.75">
      <c r="A7" s="3">
        <v>1</v>
      </c>
      <c r="B7" s="3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15.75">
      <c r="A8" s="7" t="s">
        <v>17</v>
      </c>
      <c r="B8" s="85">
        <v>259909.57</v>
      </c>
      <c r="C8" s="26">
        <f>Доходы!S7+Доходы!S8+Доходы!S9+Доходы!S14+Доходы!S11+Доходы!S15+Доходы!S16+Доходы!S18</f>
        <v>2811621.19</v>
      </c>
      <c r="D8" s="74">
        <f>Доходы!S27</f>
        <v>4093284.3500000006</v>
      </c>
      <c r="E8" s="26">
        <f>H15</f>
        <v>2809437.21</v>
      </c>
      <c r="F8" s="85">
        <f>4094446.61+12000</f>
        <v>4106446.61</v>
      </c>
      <c r="G8" s="71">
        <f>B8+D12-F8</f>
        <v>282447.310000001</v>
      </c>
      <c r="H8" s="71">
        <v>935723.31</v>
      </c>
    </row>
    <row r="9" spans="1:8" ht="15.75">
      <c r="A9" s="14" t="s">
        <v>16</v>
      </c>
      <c r="B9" s="86"/>
      <c r="C9" s="26">
        <f>Доходы!S6+Доходы!S10+Доходы!S17+Доходы!S12</f>
        <v>1180015.7699999998</v>
      </c>
      <c r="D9" s="74"/>
      <c r="E9" s="54">
        <f>B15</f>
        <v>1177764.31</v>
      </c>
      <c r="F9" s="86"/>
      <c r="G9" s="72"/>
      <c r="H9" s="72"/>
    </row>
    <row r="10" spans="1:8" ht="15.75">
      <c r="A10" s="14" t="s">
        <v>31</v>
      </c>
      <c r="B10" s="86"/>
      <c r="C10" s="26">
        <f>Доходы!S13</f>
        <v>131603.31</v>
      </c>
      <c r="D10" s="74"/>
      <c r="E10" s="26">
        <f>H22</f>
        <v>167585.3</v>
      </c>
      <c r="F10" s="86"/>
      <c r="G10" s="72"/>
      <c r="H10" s="72"/>
    </row>
    <row r="11" spans="1:8" ht="15.75">
      <c r="A11" s="14" t="s">
        <v>62</v>
      </c>
      <c r="B11" s="86"/>
      <c r="C11" s="26">
        <f>Доходы!S20</f>
        <v>39700</v>
      </c>
      <c r="D11" s="26">
        <f>Доходы!S24</f>
        <v>35700</v>
      </c>
      <c r="E11" s="26"/>
      <c r="F11" s="86"/>
      <c r="G11" s="72"/>
      <c r="H11" s="72"/>
    </row>
    <row r="12" spans="1:9" ht="15.75">
      <c r="A12" s="8" t="s">
        <v>15</v>
      </c>
      <c r="B12" s="87"/>
      <c r="C12" s="27">
        <f>SUM(C8:C10)+C11</f>
        <v>4162940.27</v>
      </c>
      <c r="D12" s="69">
        <f>D8+D11</f>
        <v>4128984.3500000006</v>
      </c>
      <c r="E12" s="27">
        <f>SUM(E8:E10)</f>
        <v>4154786.82</v>
      </c>
      <c r="F12" s="87"/>
      <c r="G12" s="73"/>
      <c r="H12" s="73"/>
      <c r="I12" s="9"/>
    </row>
    <row r="13" spans="1:8" ht="15.75">
      <c r="A13" s="5"/>
      <c r="B13" s="5"/>
      <c r="C13" s="5"/>
      <c r="D13" s="5"/>
      <c r="E13" s="5"/>
      <c r="F13" s="5"/>
      <c r="G13" s="5"/>
      <c r="H13" s="5"/>
    </row>
    <row r="14" spans="1:8" ht="15.75">
      <c r="A14" s="5"/>
      <c r="B14" s="5"/>
      <c r="C14" s="5"/>
      <c r="D14" s="5"/>
      <c r="E14" s="5"/>
      <c r="F14" s="5"/>
      <c r="G14" s="55"/>
      <c r="H14" s="5"/>
    </row>
    <row r="15" spans="1:8" ht="15.75" customHeight="1">
      <c r="A15" s="10" t="s">
        <v>16</v>
      </c>
      <c r="B15" s="58">
        <f>SUM(B16:B30)</f>
        <v>1177764.31</v>
      </c>
      <c r="C15" s="5"/>
      <c r="D15" s="77" t="s">
        <v>17</v>
      </c>
      <c r="E15" s="78"/>
      <c r="F15" s="78"/>
      <c r="G15" s="79"/>
      <c r="H15" s="12">
        <f>SUM(H16:H20)</f>
        <v>2809437.21</v>
      </c>
    </row>
    <row r="16" spans="1:8" ht="15.75" customHeight="1">
      <c r="A16" s="64" t="s">
        <v>94</v>
      </c>
      <c r="B16" s="11">
        <f>582264.39+6896.4</f>
        <v>589160.79</v>
      </c>
      <c r="C16" s="5"/>
      <c r="D16" s="80" t="s">
        <v>88</v>
      </c>
      <c r="E16" s="81"/>
      <c r="F16" s="82"/>
      <c r="G16" s="15" t="s">
        <v>20</v>
      </c>
      <c r="H16" s="11">
        <v>1846012.28</v>
      </c>
    </row>
    <row r="17" spans="1:8" ht="15.75" customHeight="1">
      <c r="A17" s="65" t="s">
        <v>102</v>
      </c>
      <c r="B17" s="11">
        <f>41290+2000</f>
        <v>43290</v>
      </c>
      <c r="C17" s="5"/>
      <c r="D17" s="80" t="s">
        <v>106</v>
      </c>
      <c r="E17" s="81"/>
      <c r="F17" s="82"/>
      <c r="G17" s="15" t="s">
        <v>29</v>
      </c>
      <c r="H17" s="11">
        <v>828402.13</v>
      </c>
    </row>
    <row r="18" spans="1:8" ht="15.75" customHeight="1">
      <c r="A18" s="65" t="s">
        <v>96</v>
      </c>
      <c r="B18" s="11">
        <v>81000</v>
      </c>
      <c r="C18" s="5"/>
      <c r="D18" s="80" t="s">
        <v>70</v>
      </c>
      <c r="E18" s="81"/>
      <c r="F18" s="82"/>
      <c r="G18" s="16" t="s">
        <v>26</v>
      </c>
      <c r="H18" s="11">
        <v>68486.4</v>
      </c>
    </row>
    <row r="19" spans="1:8" ht="15.75" customHeight="1">
      <c r="A19" s="65" t="s">
        <v>95</v>
      </c>
      <c r="B19" s="11">
        <v>145500</v>
      </c>
      <c r="C19" s="5"/>
      <c r="D19" s="80" t="s">
        <v>64</v>
      </c>
      <c r="E19" s="81"/>
      <c r="F19" s="82"/>
      <c r="G19" s="15" t="s">
        <v>25</v>
      </c>
      <c r="H19" s="11">
        <v>31188</v>
      </c>
    </row>
    <row r="20" spans="1:8" ht="15.75">
      <c r="A20" s="65" t="s">
        <v>32</v>
      </c>
      <c r="B20" s="11">
        <v>28560</v>
      </c>
      <c r="C20" s="5"/>
      <c r="D20" s="80" t="s">
        <v>19</v>
      </c>
      <c r="E20" s="81"/>
      <c r="F20" s="82"/>
      <c r="G20" s="15" t="s">
        <v>30</v>
      </c>
      <c r="H20" s="11">
        <v>35348.4</v>
      </c>
    </row>
    <row r="21" spans="1:9" ht="15.75">
      <c r="A21" s="65" t="s">
        <v>41</v>
      </c>
      <c r="B21" s="11">
        <v>132000</v>
      </c>
      <c r="C21" s="5"/>
      <c r="H21" s="9"/>
      <c r="I21" s="67"/>
    </row>
    <row r="22" spans="1:9" ht="15.75">
      <c r="A22" s="65" t="s">
        <v>10</v>
      </c>
      <c r="B22" s="11">
        <v>14108</v>
      </c>
      <c r="C22" s="5"/>
      <c r="D22" s="77" t="s">
        <v>31</v>
      </c>
      <c r="E22" s="78"/>
      <c r="F22" s="78"/>
      <c r="G22" s="79"/>
      <c r="H22" s="25">
        <f>SUM(H23:H26)</f>
        <v>167585.3</v>
      </c>
      <c r="I22" s="68"/>
    </row>
    <row r="23" spans="1:9" ht="15.75">
      <c r="A23" s="65" t="s">
        <v>97</v>
      </c>
      <c r="B23" s="11">
        <f>12000+3429.03</f>
        <v>15429.03</v>
      </c>
      <c r="C23" s="5"/>
      <c r="D23" s="75" t="s">
        <v>91</v>
      </c>
      <c r="E23" s="75"/>
      <c r="F23" s="75"/>
      <c r="G23" s="75"/>
      <c r="H23" s="63">
        <v>37600</v>
      </c>
      <c r="I23" s="67"/>
    </row>
    <row r="24" spans="1:9" ht="15.75">
      <c r="A24" s="65" t="s">
        <v>98</v>
      </c>
      <c r="B24" s="11">
        <f>5405.11+10181.16</f>
        <v>15586.27</v>
      </c>
      <c r="C24" s="5"/>
      <c r="D24" s="76" t="s">
        <v>90</v>
      </c>
      <c r="E24" s="76"/>
      <c r="F24" s="76"/>
      <c r="G24" s="76"/>
      <c r="H24" s="11">
        <f>32500+12000</f>
        <v>44500</v>
      </c>
      <c r="I24" s="67"/>
    </row>
    <row r="25" spans="1:9" ht="15.75" customHeight="1">
      <c r="A25" s="65" t="s">
        <v>99</v>
      </c>
      <c r="B25" s="11">
        <v>37650</v>
      </c>
      <c r="C25" s="28"/>
      <c r="D25" s="76" t="s">
        <v>92</v>
      </c>
      <c r="E25" s="76"/>
      <c r="F25" s="76"/>
      <c r="G25" s="76"/>
      <c r="H25" s="11">
        <v>24085.3</v>
      </c>
      <c r="I25" s="67"/>
    </row>
    <row r="26" spans="1:9" ht="15.75" customHeight="1">
      <c r="A26" s="65" t="s">
        <v>42</v>
      </c>
      <c r="B26" s="11">
        <v>26012.5</v>
      </c>
      <c r="C26" s="29"/>
      <c r="D26" s="76" t="s">
        <v>93</v>
      </c>
      <c r="E26" s="76"/>
      <c r="F26" s="76"/>
      <c r="G26" s="76"/>
      <c r="H26" s="11">
        <v>61400</v>
      </c>
      <c r="I26" s="67"/>
    </row>
    <row r="27" spans="1:3" ht="15.75" customHeight="1">
      <c r="A27" s="65" t="s">
        <v>100</v>
      </c>
      <c r="B27" s="11">
        <v>6400</v>
      </c>
      <c r="C27" s="29"/>
    </row>
    <row r="28" spans="1:3" ht="15.75" customHeight="1">
      <c r="A28" s="65" t="s">
        <v>101</v>
      </c>
      <c r="B28" s="11">
        <f>5981.5</f>
        <v>5981.5</v>
      </c>
      <c r="C28" s="66"/>
    </row>
    <row r="29" spans="1:3" ht="15.75" customHeight="1">
      <c r="A29" s="64" t="s">
        <v>109</v>
      </c>
      <c r="B29" s="11">
        <v>3200</v>
      </c>
      <c r="C29" s="5"/>
    </row>
    <row r="30" spans="1:3" ht="15.75" customHeight="1">
      <c r="A30" s="64" t="s">
        <v>40</v>
      </c>
      <c r="B30" s="11">
        <v>33886.22</v>
      </c>
      <c r="C30" s="5"/>
    </row>
    <row r="33" spans="1:3" ht="15.75">
      <c r="A33" s="83" t="s">
        <v>38</v>
      </c>
      <c r="B33" s="83"/>
      <c r="C33" s="13"/>
    </row>
  </sheetData>
  <sheetProtection/>
  <mergeCells count="18">
    <mergeCell ref="H8:H12"/>
    <mergeCell ref="A33:B33"/>
    <mergeCell ref="A4:H4"/>
    <mergeCell ref="D16:F16"/>
    <mergeCell ref="D18:F18"/>
    <mergeCell ref="D25:G25"/>
    <mergeCell ref="D26:G26"/>
    <mergeCell ref="D22:G22"/>
    <mergeCell ref="B8:B12"/>
    <mergeCell ref="F8:F12"/>
    <mergeCell ref="G8:G12"/>
    <mergeCell ref="D8:D10"/>
    <mergeCell ref="D23:G23"/>
    <mergeCell ref="D24:G24"/>
    <mergeCell ref="D15:G15"/>
    <mergeCell ref="D19:F19"/>
    <mergeCell ref="D20:F20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"/>
  <sheetViews>
    <sheetView zoomScale="130" zoomScaleNormal="130" zoomScalePageLayoutView="0" workbookViewId="0" topLeftCell="A1">
      <pane xSplit="1" topLeftCell="B1" activePane="topRight" state="frozen"/>
      <selection pane="topLeft" activeCell="A1" sqref="A1"/>
      <selection pane="topRight" activeCell="A28" sqref="A28:M28"/>
    </sheetView>
  </sheetViews>
  <sheetFormatPr defaultColWidth="19.00390625" defaultRowHeight="15"/>
  <cols>
    <col min="1" max="1" width="14.7109375" style="30" customWidth="1"/>
    <col min="2" max="2" width="8.140625" style="30" customWidth="1"/>
    <col min="3" max="4" width="7.8515625" style="30" customWidth="1"/>
    <col min="5" max="5" width="8.00390625" style="30" customWidth="1"/>
    <col min="6" max="6" width="8.421875" style="30" customWidth="1"/>
    <col min="7" max="7" width="7.28125" style="30" customWidth="1"/>
    <col min="8" max="8" width="7.57421875" style="30" customWidth="1"/>
    <col min="9" max="9" width="7.28125" style="30" customWidth="1"/>
    <col min="10" max="10" width="7.57421875" style="30" customWidth="1"/>
    <col min="11" max="11" width="7.421875" style="30" customWidth="1"/>
    <col min="12" max="12" width="7.57421875" style="30" customWidth="1"/>
    <col min="13" max="13" width="7.421875" style="30" customWidth="1"/>
    <col min="14" max="14" width="7.7109375" style="30" customWidth="1"/>
    <col min="15" max="15" width="7.421875" style="30" customWidth="1"/>
    <col min="16" max="16" width="7.140625" style="30" customWidth="1"/>
    <col min="17" max="17" width="7.421875" style="30" customWidth="1"/>
    <col min="18" max="18" width="9.7109375" style="30" customWidth="1"/>
    <col min="19" max="19" width="10.8515625" style="30" customWidth="1"/>
    <col min="20" max="22" width="11.28125" style="30" customWidth="1"/>
    <col min="23" max="16384" width="19.00390625" style="30" customWidth="1"/>
  </cols>
  <sheetData>
    <row r="1" ht="10.5">
      <c r="S1" s="30" t="s">
        <v>28</v>
      </c>
    </row>
    <row r="2" spans="1:19" ht="10.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0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0.5">
      <c r="A4" s="93" t="s">
        <v>74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20" ht="52.5">
      <c r="A5" s="56"/>
      <c r="B5" s="33" t="s">
        <v>75</v>
      </c>
      <c r="C5" s="33" t="s">
        <v>22</v>
      </c>
      <c r="D5" s="33" t="s">
        <v>23</v>
      </c>
      <c r="E5" s="33" t="s">
        <v>24</v>
      </c>
      <c r="F5" s="34" t="s">
        <v>76</v>
      </c>
      <c r="G5" s="33" t="s">
        <v>2</v>
      </c>
      <c r="H5" s="33" t="s">
        <v>3</v>
      </c>
      <c r="I5" s="33" t="s">
        <v>4</v>
      </c>
      <c r="J5" s="34" t="s">
        <v>77</v>
      </c>
      <c r="K5" s="33" t="s">
        <v>5</v>
      </c>
      <c r="L5" s="33" t="s">
        <v>6</v>
      </c>
      <c r="M5" s="33" t="s">
        <v>7</v>
      </c>
      <c r="N5" s="34" t="s">
        <v>78</v>
      </c>
      <c r="O5" s="33" t="s">
        <v>11</v>
      </c>
      <c r="P5" s="33" t="s">
        <v>12</v>
      </c>
      <c r="Q5" s="33" t="s">
        <v>13</v>
      </c>
      <c r="R5" s="34" t="s">
        <v>79</v>
      </c>
      <c r="S5" s="34" t="s">
        <v>80</v>
      </c>
      <c r="T5" s="32"/>
    </row>
    <row r="6" spans="1:20" ht="15" customHeight="1">
      <c r="A6" s="35" t="s">
        <v>0</v>
      </c>
      <c r="B6" s="36">
        <f>127469.25+11284.62</f>
        <v>138753.87</v>
      </c>
      <c r="C6" s="36">
        <f>70929.84+9742.92</f>
        <v>80672.76</v>
      </c>
      <c r="D6" s="36">
        <f>71229.84+9742.92</f>
        <v>80972.76</v>
      </c>
      <c r="E6" s="36">
        <f>71229.84+9742.92</f>
        <v>80972.76</v>
      </c>
      <c r="F6" s="37">
        <f>SUM(C6:E6)</f>
        <v>242618.27999999997</v>
      </c>
      <c r="G6" s="36">
        <f>71229.84+9742.92</f>
        <v>80972.76</v>
      </c>
      <c r="H6" s="36">
        <f>9742.92+71229.84</f>
        <v>80972.76</v>
      </c>
      <c r="I6" s="36">
        <f>71229.84+9742.92</f>
        <v>80972.76</v>
      </c>
      <c r="J6" s="37">
        <f>SUM(G6:I6)</f>
        <v>242918.27999999997</v>
      </c>
      <c r="K6" s="36">
        <f>71229.84+9742.92</f>
        <v>80972.76</v>
      </c>
      <c r="L6" s="36">
        <f>71229.84+9742.92</f>
        <v>80972.76</v>
      </c>
      <c r="M6" s="36">
        <f>71229.84+9742.92</f>
        <v>80972.76</v>
      </c>
      <c r="N6" s="37">
        <f>SUM(K6:M6)</f>
        <v>242918.27999999997</v>
      </c>
      <c r="O6" s="36">
        <f>71229.84+9790.44</f>
        <v>81020.28</v>
      </c>
      <c r="P6" s="36">
        <f>71229.84+9790.44</f>
        <v>81020.28</v>
      </c>
      <c r="Q6" s="36">
        <f>71229.84+9790.44</f>
        <v>81020.28</v>
      </c>
      <c r="R6" s="37">
        <f>SUM(O6:Q6)</f>
        <v>243060.84</v>
      </c>
      <c r="S6" s="38">
        <f>F6+J6+N6+R6</f>
        <v>971515.6799999998</v>
      </c>
      <c r="T6" s="39"/>
    </row>
    <row r="7" spans="1:20" ht="15" customHeight="1">
      <c r="A7" s="35" t="s">
        <v>33</v>
      </c>
      <c r="B7" s="36">
        <f>75829.34+6844.83</f>
        <v>82674.17</v>
      </c>
      <c r="C7" s="36">
        <f>20589.93+364.49</f>
        <v>20954.420000000002</v>
      </c>
      <c r="D7" s="36">
        <f>24171.12+1911.84</f>
        <v>26082.96</v>
      </c>
      <c r="E7" s="36">
        <f>21252.15+785.22</f>
        <v>22037.370000000003</v>
      </c>
      <c r="F7" s="37">
        <f aca="true" t="shared" si="0" ref="F7:F18">SUM(C7:E7)</f>
        <v>69074.75</v>
      </c>
      <c r="G7" s="36">
        <f>25226.7+785.22</f>
        <v>26011.920000000002</v>
      </c>
      <c r="H7" s="36">
        <f>921.78+22634.82</f>
        <v>23556.6</v>
      </c>
      <c r="I7" s="36">
        <f>20808.33+990.06</f>
        <v>21798.390000000003</v>
      </c>
      <c r="J7" s="37">
        <f aca="true" t="shared" si="1" ref="J7:J18">SUM(G7:I7)</f>
        <v>71366.91</v>
      </c>
      <c r="K7" s="36">
        <f>24472.61+2714.25</f>
        <v>27186.86</v>
      </c>
      <c r="L7" s="36">
        <f>22438.51+1085.7</f>
        <v>23524.21</v>
      </c>
      <c r="M7" s="36">
        <f>24000.12+904.75</f>
        <v>24904.87</v>
      </c>
      <c r="N7" s="37">
        <f aca="true" t="shared" si="2" ref="N7:N18">SUM(K7:M7)</f>
        <v>75615.94</v>
      </c>
      <c r="O7" s="36">
        <f>24500.63+1411.41</f>
        <v>25912.04</v>
      </c>
      <c r="P7" s="36">
        <f>23190.91+1230.46</f>
        <v>24421.37</v>
      </c>
      <c r="Q7" s="36">
        <f>53254.39+5229</f>
        <v>58483.39</v>
      </c>
      <c r="R7" s="37">
        <f aca="true" t="shared" si="3" ref="R7:R18">SUM(O7:Q7)</f>
        <v>108816.8</v>
      </c>
      <c r="S7" s="38">
        <f aca="true" t="shared" si="4" ref="S7:S18">F7+J7+N7+R7</f>
        <v>324874.4</v>
      </c>
      <c r="T7" s="39"/>
    </row>
    <row r="8" spans="1:20" ht="15" customHeight="1">
      <c r="A8" s="35" t="s">
        <v>9</v>
      </c>
      <c r="B8" s="36">
        <f>68349.31+3628.73</f>
        <v>71978.04</v>
      </c>
      <c r="C8" s="36">
        <f>42694.49+1903.88</f>
        <v>44598.369999999995</v>
      </c>
      <c r="D8" s="36">
        <f>43525.27+1557.72</f>
        <v>45082.99</v>
      </c>
      <c r="E8" s="36">
        <f>34499.15+1903.88</f>
        <v>36403.03</v>
      </c>
      <c r="F8" s="37">
        <f t="shared" si="0"/>
        <v>126084.38999999998</v>
      </c>
      <c r="G8" s="36">
        <f>42368.24+1038.48</f>
        <v>43406.72</v>
      </c>
      <c r="H8" s="36">
        <f>1038.48+39981.46</f>
        <v>41019.94</v>
      </c>
      <c r="I8" s="36">
        <f>28495.87+951.94</f>
        <v>29447.809999999998</v>
      </c>
      <c r="J8" s="37">
        <f t="shared" si="1"/>
        <v>113874.47</v>
      </c>
      <c r="K8" s="36">
        <f>19481.31+1085.4</f>
        <v>20566.710000000003</v>
      </c>
      <c r="L8" s="36">
        <f>28317.26+1356.75</f>
        <v>29674.01</v>
      </c>
      <c r="M8" s="36">
        <f>34598+633.15</f>
        <v>35231.15</v>
      </c>
      <c r="N8" s="37">
        <f t="shared" si="2"/>
        <v>85471.87</v>
      </c>
      <c r="O8" s="36">
        <f>39915.57+1537.65</f>
        <v>41453.22</v>
      </c>
      <c r="P8" s="36">
        <f>40003.39+361.8</f>
        <v>40365.19</v>
      </c>
      <c r="Q8" s="36">
        <f>42434.59+1628.1</f>
        <v>44062.689999999995</v>
      </c>
      <c r="R8" s="37">
        <f t="shared" si="3"/>
        <v>125881.1</v>
      </c>
      <c r="S8" s="38">
        <f t="shared" si="4"/>
        <v>451311.82999999996</v>
      </c>
      <c r="T8" s="39"/>
    </row>
    <row r="9" spans="1:20" ht="15" customHeight="1">
      <c r="A9" s="35" t="s">
        <v>8</v>
      </c>
      <c r="B9" s="36">
        <f>226209.91+28932.49</f>
        <v>255142.4</v>
      </c>
      <c r="C9" s="36">
        <f>239591.28+36022.09</f>
        <v>275613.37</v>
      </c>
      <c r="D9" s="36">
        <f>193345.86+23169.28</f>
        <v>216515.13999999998</v>
      </c>
      <c r="E9" s="36">
        <f>141164.62+16915.17</f>
        <v>158079.78999999998</v>
      </c>
      <c r="F9" s="37">
        <f t="shared" si="0"/>
        <v>650208.3</v>
      </c>
      <c r="G9" s="36">
        <f>71499.93+8564.54</f>
        <v>80064.47</v>
      </c>
      <c r="H9" s="36">
        <f>5680.37+47378.61</f>
        <v>53058.98</v>
      </c>
      <c r="I9" s="36">
        <f>7446.73+1018.56</f>
        <v>8465.289999999999</v>
      </c>
      <c r="J9" s="37">
        <f t="shared" si="1"/>
        <v>141588.74000000002</v>
      </c>
      <c r="K9" s="36">
        <f>7392.88+887.04</f>
        <v>8279.92</v>
      </c>
      <c r="L9" s="36">
        <f>7123.01+775.24</f>
        <v>7898.25</v>
      </c>
      <c r="M9" s="36">
        <f>20667.46+2153.99</f>
        <v>22821.449999999997</v>
      </c>
      <c r="N9" s="37">
        <f t="shared" si="2"/>
        <v>38999.619999999995</v>
      </c>
      <c r="O9" s="36">
        <f>103837.9+12575.05</f>
        <v>116412.95</v>
      </c>
      <c r="P9" s="36">
        <f>195612.53+23441</f>
        <v>219053.53</v>
      </c>
      <c r="Q9" s="36">
        <f>204030.42+24444.57</f>
        <v>228474.99000000002</v>
      </c>
      <c r="R9" s="37">
        <f t="shared" si="3"/>
        <v>563941.47</v>
      </c>
      <c r="S9" s="38">
        <f t="shared" si="4"/>
        <v>1394738.13</v>
      </c>
      <c r="T9" s="39"/>
    </row>
    <row r="10" spans="1:20" ht="15" customHeight="1">
      <c r="A10" s="57" t="s">
        <v>63</v>
      </c>
      <c r="B10" s="36">
        <v>5463.21</v>
      </c>
      <c r="C10" s="36">
        <v>7123.01</v>
      </c>
      <c r="D10" s="36">
        <v>7123.01</v>
      </c>
      <c r="E10" s="36">
        <v>7123.01</v>
      </c>
      <c r="F10" s="37">
        <f t="shared" si="0"/>
        <v>21369.03</v>
      </c>
      <c r="G10" s="36">
        <v>7500.72</v>
      </c>
      <c r="H10" s="36">
        <v>7500.72</v>
      </c>
      <c r="I10" s="36">
        <f>7500.72</f>
        <v>7500.72</v>
      </c>
      <c r="J10" s="37">
        <f t="shared" si="1"/>
        <v>22502.16</v>
      </c>
      <c r="K10" s="36">
        <v>7500.72</v>
      </c>
      <c r="L10" s="36">
        <f>7500.72</f>
        <v>7500.72</v>
      </c>
      <c r="M10" s="36">
        <v>7500.72</v>
      </c>
      <c r="N10" s="37">
        <f t="shared" si="2"/>
        <v>22502.16</v>
      </c>
      <c r="O10" s="36">
        <f>7500.72</f>
        <v>7500.72</v>
      </c>
      <c r="P10" s="36">
        <v>7500.72</v>
      </c>
      <c r="Q10" s="36">
        <v>7500.72</v>
      </c>
      <c r="R10" s="37">
        <f t="shared" si="3"/>
        <v>22502.16</v>
      </c>
      <c r="S10" s="38">
        <f t="shared" si="4"/>
        <v>88875.51000000001</v>
      </c>
      <c r="T10" s="39"/>
    </row>
    <row r="11" spans="1:20" ht="15" customHeight="1">
      <c r="A11" s="35" t="s">
        <v>26</v>
      </c>
      <c r="B11" s="36">
        <v>13838.59</v>
      </c>
      <c r="C11" s="36">
        <v>5726.58</v>
      </c>
      <c r="D11" s="36">
        <v>5726.58</v>
      </c>
      <c r="E11" s="36">
        <f>5726.58</f>
        <v>5726.58</v>
      </c>
      <c r="F11" s="37">
        <f t="shared" si="0"/>
        <v>17179.739999999998</v>
      </c>
      <c r="G11" s="36">
        <v>5726.58</v>
      </c>
      <c r="H11" s="36">
        <v>5726.58</v>
      </c>
      <c r="I11" s="36">
        <f>5726.58</f>
        <v>5726.58</v>
      </c>
      <c r="J11" s="37">
        <f t="shared" si="1"/>
        <v>17179.739999999998</v>
      </c>
      <c r="K11" s="36">
        <v>5726.58</v>
      </c>
      <c r="L11" s="36">
        <f>5726.58</f>
        <v>5726.58</v>
      </c>
      <c r="M11" s="36">
        <f>5726.58</f>
        <v>5726.58</v>
      </c>
      <c r="N11" s="37">
        <f t="shared" si="2"/>
        <v>17179.739999999998</v>
      </c>
      <c r="O11" s="36">
        <v>5726.58</v>
      </c>
      <c r="P11" s="36">
        <v>5726.58</v>
      </c>
      <c r="Q11" s="36">
        <v>5726.58</v>
      </c>
      <c r="R11" s="37">
        <f t="shared" si="3"/>
        <v>17179.739999999998</v>
      </c>
      <c r="S11" s="38">
        <f t="shared" si="4"/>
        <v>68718.95999999999</v>
      </c>
      <c r="T11" s="39"/>
    </row>
    <row r="12" spans="1:20" ht="15" customHeight="1">
      <c r="A12" s="40" t="s">
        <v>43</v>
      </c>
      <c r="B12" s="36">
        <f>10134.24+1102.89</f>
        <v>11237.13</v>
      </c>
      <c r="C12" s="36">
        <f>3846.6+570.9</f>
        <v>4417.5</v>
      </c>
      <c r="D12" s="36">
        <f>3438+369</f>
        <v>3807</v>
      </c>
      <c r="E12" s="36">
        <f>3605.7+423.9</f>
        <v>4029.6</v>
      </c>
      <c r="F12" s="37">
        <f t="shared" si="0"/>
        <v>12254.1</v>
      </c>
      <c r="G12" s="36">
        <f>3806.1+305.1</f>
        <v>4111.2</v>
      </c>
      <c r="H12" s="36">
        <f>668.4+2671.2</f>
        <v>3339.6</v>
      </c>
      <c r="I12" s="36">
        <f>4170+486.9</f>
        <v>4656.9</v>
      </c>
      <c r="J12" s="37">
        <f t="shared" si="1"/>
        <v>12107.699999999999</v>
      </c>
      <c r="K12" s="36">
        <f>2552.4+727.2</f>
        <v>3279.6000000000004</v>
      </c>
      <c r="L12" s="36">
        <f>2775.9+423.9</f>
        <v>3199.8</v>
      </c>
      <c r="M12" s="36">
        <f>3050.7+423.9</f>
        <v>3474.6</v>
      </c>
      <c r="N12" s="37">
        <f t="shared" si="2"/>
        <v>9954</v>
      </c>
      <c r="O12" s="36">
        <f>2800.2+364.5</f>
        <v>3164.7</v>
      </c>
      <c r="P12" s="36">
        <f>3160.2+427.5</f>
        <v>3587.7</v>
      </c>
      <c r="Q12" s="36">
        <f>2895.3+383.4</f>
        <v>3278.7000000000003</v>
      </c>
      <c r="R12" s="37">
        <f t="shared" si="3"/>
        <v>10031.1</v>
      </c>
      <c r="S12" s="38">
        <f t="shared" si="4"/>
        <v>44346.9</v>
      </c>
      <c r="T12" s="39"/>
    </row>
    <row r="13" spans="1:20" ht="15" customHeight="1">
      <c r="A13" s="40" t="s">
        <v>31</v>
      </c>
      <c r="B13" s="36">
        <f>9335.17+1446.52</f>
        <v>10781.69</v>
      </c>
      <c r="C13" s="36">
        <f>6205.91+848.86</f>
        <v>7054.7699999999995</v>
      </c>
      <c r="D13" s="36">
        <f>6205.91+848.86</f>
        <v>7054.7699999999995</v>
      </c>
      <c r="E13" s="36">
        <f>6205.91+848.86</f>
        <v>7054.7699999999995</v>
      </c>
      <c r="F13" s="37">
        <f t="shared" si="0"/>
        <v>21164.309999999998</v>
      </c>
      <c r="G13" s="36">
        <f>10792.4+1476.2</f>
        <v>12268.6</v>
      </c>
      <c r="H13" s="36">
        <f>1476.2+10792.4</f>
        <v>12268.6</v>
      </c>
      <c r="I13" s="36">
        <f>10792.4+1476.2</f>
        <v>12268.6</v>
      </c>
      <c r="J13" s="37">
        <f t="shared" si="1"/>
        <v>36805.8</v>
      </c>
      <c r="K13" s="36">
        <f>10792.4+1476.2</f>
        <v>12268.6</v>
      </c>
      <c r="L13" s="36">
        <f>10792.4+1476.2</f>
        <v>12268.6</v>
      </c>
      <c r="M13" s="36">
        <f>10792.4+1476.2</f>
        <v>12268.6</v>
      </c>
      <c r="N13" s="37">
        <f t="shared" si="2"/>
        <v>36805.8</v>
      </c>
      <c r="O13" s="36">
        <f>10792.4+1483.4</f>
        <v>12275.8</v>
      </c>
      <c r="P13" s="36">
        <f>10792.4+1483.4</f>
        <v>12275.8</v>
      </c>
      <c r="Q13" s="36">
        <f>10792.4+1483.4</f>
        <v>12275.8</v>
      </c>
      <c r="R13" s="37">
        <f t="shared" si="3"/>
        <v>36827.399999999994</v>
      </c>
      <c r="S13" s="38">
        <f t="shared" si="4"/>
        <v>131603.31</v>
      </c>
      <c r="T13" s="39"/>
    </row>
    <row r="14" spans="1:20" ht="10.5">
      <c r="A14" s="35" t="s">
        <v>34</v>
      </c>
      <c r="B14" s="36">
        <f>26932.48+1431.45</f>
        <v>28363.93</v>
      </c>
      <c r="C14" s="36">
        <f>16842.95+751.08</f>
        <v>17594.030000000002</v>
      </c>
      <c r="D14" s="36">
        <f>17170.69+614.52</f>
        <v>17785.21</v>
      </c>
      <c r="E14" s="36">
        <f>13609.89+751.08</f>
        <v>14360.97</v>
      </c>
      <c r="F14" s="37">
        <f t="shared" si="0"/>
        <v>49740.21000000001</v>
      </c>
      <c r="G14" s="36">
        <f>16714.26+409.68</f>
        <v>17123.94</v>
      </c>
      <c r="H14" s="36">
        <f>409.68+15769.66</f>
        <v>16179.34</v>
      </c>
      <c r="I14" s="36">
        <f>11241.57+375.54</f>
        <v>11617.11</v>
      </c>
      <c r="J14" s="37">
        <f t="shared" si="1"/>
        <v>44920.39</v>
      </c>
      <c r="K14" s="36">
        <f>7798.03+434.28</f>
        <v>8232.31</v>
      </c>
      <c r="L14" s="36">
        <f>11341.09+542.85</f>
        <v>11883.94</v>
      </c>
      <c r="M14" s="36">
        <f>13842.99+253.33</f>
        <v>14096.32</v>
      </c>
      <c r="N14" s="37">
        <f t="shared" si="2"/>
        <v>34212.57</v>
      </c>
      <c r="O14" s="36">
        <f>15970.61+615.23</f>
        <v>16585.84</v>
      </c>
      <c r="P14" s="36">
        <f>16552.27+542.85</f>
        <v>17095.12</v>
      </c>
      <c r="Q14" s="36">
        <f>16978.49+651.42</f>
        <v>17629.91</v>
      </c>
      <c r="R14" s="37">
        <f t="shared" si="3"/>
        <v>51310.869999999995</v>
      </c>
      <c r="S14" s="38">
        <f t="shared" si="4"/>
        <v>180184.04</v>
      </c>
      <c r="T14" s="39"/>
    </row>
    <row r="15" spans="1:20" ht="10.5">
      <c r="A15" s="35" t="s">
        <v>25</v>
      </c>
      <c r="B15" s="36">
        <v>5007.24</v>
      </c>
      <c r="C15" s="36">
        <v>2507</v>
      </c>
      <c r="D15" s="36">
        <v>2599</v>
      </c>
      <c r="E15" s="36">
        <v>2599</v>
      </c>
      <c r="F15" s="37">
        <f t="shared" si="0"/>
        <v>7705</v>
      </c>
      <c r="G15" s="36">
        <v>2825</v>
      </c>
      <c r="H15" s="36">
        <v>2825</v>
      </c>
      <c r="I15" s="36">
        <v>2825</v>
      </c>
      <c r="J15" s="37">
        <f t="shared" si="1"/>
        <v>8475</v>
      </c>
      <c r="K15" s="36">
        <v>2825</v>
      </c>
      <c r="L15" s="36">
        <f>2825</f>
        <v>2825</v>
      </c>
      <c r="M15" s="36">
        <v>2825</v>
      </c>
      <c r="N15" s="37">
        <f t="shared" si="2"/>
        <v>8475</v>
      </c>
      <c r="O15" s="36">
        <v>2825</v>
      </c>
      <c r="P15" s="36">
        <v>2825</v>
      </c>
      <c r="Q15" s="36">
        <v>2825</v>
      </c>
      <c r="R15" s="37">
        <f t="shared" si="3"/>
        <v>8475</v>
      </c>
      <c r="S15" s="38">
        <f t="shared" si="4"/>
        <v>33130</v>
      </c>
      <c r="T15" s="39"/>
    </row>
    <row r="16" spans="1:20" ht="10.5">
      <c r="A16" s="35" t="s">
        <v>35</v>
      </c>
      <c r="B16" s="36">
        <f>5175.51+785.36</f>
        <v>5960.87</v>
      </c>
      <c r="C16" s="36">
        <f>2596.58+349.12</f>
        <v>2945.7</v>
      </c>
      <c r="D16" s="36">
        <f>2596.58+349.12</f>
        <v>2945.7</v>
      </c>
      <c r="E16" s="36">
        <f>2596.58+349.12</f>
        <v>2945.7</v>
      </c>
      <c r="F16" s="37">
        <f t="shared" si="0"/>
        <v>8837.099999999999</v>
      </c>
      <c r="G16" s="36">
        <f>2596.58+349.12</f>
        <v>2945.7</v>
      </c>
      <c r="H16" s="36">
        <f>349.12+2596.58</f>
        <v>2945.7</v>
      </c>
      <c r="I16" s="36">
        <f>2596.58+349.12</f>
        <v>2945.7</v>
      </c>
      <c r="J16" s="37">
        <f t="shared" si="1"/>
        <v>8837.099999999999</v>
      </c>
      <c r="K16" s="36">
        <f>2596.58+349.12</f>
        <v>2945.7</v>
      </c>
      <c r="L16" s="36">
        <f>2596.58+349.12</f>
        <v>2945.7</v>
      </c>
      <c r="M16" s="36">
        <f>2596.58+349.12</f>
        <v>2945.7</v>
      </c>
      <c r="N16" s="37">
        <f t="shared" si="2"/>
        <v>8837.099999999999</v>
      </c>
      <c r="O16" s="36">
        <f>2596.58+349.12</f>
        <v>2945.7</v>
      </c>
      <c r="P16" s="36">
        <f>2596.58+349.12</f>
        <v>2945.7</v>
      </c>
      <c r="Q16" s="36">
        <f>2596.58+349.12</f>
        <v>2945.7</v>
      </c>
      <c r="R16" s="37">
        <f t="shared" si="3"/>
        <v>8837.099999999999</v>
      </c>
      <c r="S16" s="38">
        <f t="shared" si="4"/>
        <v>35348.399999999994</v>
      </c>
      <c r="T16" s="39"/>
    </row>
    <row r="17" spans="1:20" ht="10.5">
      <c r="A17" s="57" t="s">
        <v>36</v>
      </c>
      <c r="B17" s="36">
        <v>11363.2</v>
      </c>
      <c r="C17" s="36">
        <v>6151.64</v>
      </c>
      <c r="D17" s="36">
        <v>6151.64</v>
      </c>
      <c r="E17" s="36">
        <v>6151.64</v>
      </c>
      <c r="F17" s="37">
        <f t="shared" si="0"/>
        <v>18454.920000000002</v>
      </c>
      <c r="G17" s="36">
        <v>6313.64</v>
      </c>
      <c r="H17" s="36">
        <v>6313.64</v>
      </c>
      <c r="I17" s="36">
        <v>6313.64</v>
      </c>
      <c r="J17" s="37">
        <f t="shared" si="1"/>
        <v>18940.920000000002</v>
      </c>
      <c r="K17" s="36">
        <v>6313.64</v>
      </c>
      <c r="L17" s="36">
        <v>6313.64</v>
      </c>
      <c r="M17" s="36">
        <v>6313.64</v>
      </c>
      <c r="N17" s="37">
        <f t="shared" si="2"/>
        <v>18940.920000000002</v>
      </c>
      <c r="O17" s="36">
        <v>6313.64</v>
      </c>
      <c r="P17" s="36">
        <v>6313.64</v>
      </c>
      <c r="Q17" s="36">
        <v>6313.64</v>
      </c>
      <c r="R17" s="37">
        <f t="shared" si="3"/>
        <v>18940.920000000002</v>
      </c>
      <c r="S17" s="38">
        <f t="shared" si="4"/>
        <v>75277.68000000001</v>
      </c>
      <c r="T17" s="39"/>
    </row>
    <row r="18" spans="1:20" ht="10.5">
      <c r="A18" s="35" t="s">
        <v>37</v>
      </c>
      <c r="B18" s="36">
        <f>43734.4+2657.32</f>
        <v>46391.72</v>
      </c>
      <c r="C18" s="36">
        <f>27611.1+1047.15</f>
        <v>28658.25</v>
      </c>
      <c r="D18" s="36">
        <f>28178.89+1721.98</f>
        <v>29900.87</v>
      </c>
      <c r="E18" s="36">
        <f>23762.24+1047.15</f>
        <v>24809.390000000003</v>
      </c>
      <c r="F18" s="37">
        <f t="shared" si="0"/>
        <v>83368.51</v>
      </c>
      <c r="G18" s="36">
        <f>28587.25+814.45</f>
        <v>29401.7</v>
      </c>
      <c r="H18" s="36">
        <f>907.53+26178.82</f>
        <v>27086.35</v>
      </c>
      <c r="I18" s="36">
        <f>21845.38+930.8</f>
        <v>22776.18</v>
      </c>
      <c r="J18" s="37">
        <f t="shared" si="1"/>
        <v>79264.23000000001</v>
      </c>
      <c r="K18" s="36">
        <f>21989.42+2145.42</f>
        <v>24134.839999999997</v>
      </c>
      <c r="L18" s="36">
        <f>23017.35+1109.7</f>
        <v>24127.05</v>
      </c>
      <c r="M18" s="36">
        <f>25786.48+789.12</f>
        <v>26575.6</v>
      </c>
      <c r="N18" s="37">
        <f t="shared" si="2"/>
        <v>74837.48999999999</v>
      </c>
      <c r="O18" s="36">
        <f>27577.3+1380.96</f>
        <v>28958.26</v>
      </c>
      <c r="P18" s="36">
        <f>27081.11+1208.34</f>
        <v>28289.45</v>
      </c>
      <c r="Q18" s="36">
        <f>27265.85+1331.64</f>
        <v>28597.489999999998</v>
      </c>
      <c r="R18" s="37">
        <f t="shared" si="3"/>
        <v>85845.2</v>
      </c>
      <c r="S18" s="38">
        <f t="shared" si="4"/>
        <v>323315.43</v>
      </c>
      <c r="T18" s="39"/>
    </row>
    <row r="19" spans="1:20" ht="10.5">
      <c r="A19" s="41" t="s">
        <v>1</v>
      </c>
      <c r="B19" s="42">
        <f aca="true" t="shared" si="5" ref="B19:S19">SUM(B6:B18)</f>
        <v>686956.0599999998</v>
      </c>
      <c r="C19" s="42">
        <f t="shared" si="5"/>
        <v>504017.4000000001</v>
      </c>
      <c r="D19" s="42">
        <f t="shared" si="5"/>
        <v>451747.63000000006</v>
      </c>
      <c r="E19" s="42">
        <f t="shared" si="5"/>
        <v>372293.61</v>
      </c>
      <c r="F19" s="42">
        <f t="shared" si="5"/>
        <v>1328058.6400000001</v>
      </c>
      <c r="G19" s="42">
        <f t="shared" si="5"/>
        <v>318672.95</v>
      </c>
      <c r="H19" s="42">
        <f t="shared" si="5"/>
        <v>282793.81</v>
      </c>
      <c r="I19" s="42">
        <f t="shared" si="5"/>
        <v>217314.68</v>
      </c>
      <c r="J19" s="42">
        <f t="shared" si="5"/>
        <v>818781.44</v>
      </c>
      <c r="K19" s="42">
        <f t="shared" si="5"/>
        <v>210233.24000000002</v>
      </c>
      <c r="L19" s="42">
        <f t="shared" si="5"/>
        <v>218860.26</v>
      </c>
      <c r="M19" s="42">
        <f t="shared" si="5"/>
        <v>245656.99000000002</v>
      </c>
      <c r="N19" s="42">
        <f t="shared" si="5"/>
        <v>674750.4899999999</v>
      </c>
      <c r="O19" s="42">
        <f t="shared" si="5"/>
        <v>351094.73000000004</v>
      </c>
      <c r="P19" s="42">
        <f t="shared" si="5"/>
        <v>451420.08</v>
      </c>
      <c r="Q19" s="42">
        <f t="shared" si="5"/>
        <v>499134.88999999996</v>
      </c>
      <c r="R19" s="42">
        <f t="shared" si="5"/>
        <v>1301649.7</v>
      </c>
      <c r="S19" s="42">
        <f t="shared" si="5"/>
        <v>4123240.27</v>
      </c>
      <c r="T19" s="39"/>
    </row>
    <row r="20" spans="1:20" ht="10.5">
      <c r="A20" s="35" t="s">
        <v>27</v>
      </c>
      <c r="B20" s="36"/>
      <c r="C20" s="36">
        <f>1950</f>
        <v>1950</v>
      </c>
      <c r="D20" s="36">
        <v>1950</v>
      </c>
      <c r="E20" s="36">
        <f>1950+4000</f>
        <v>5950</v>
      </c>
      <c r="F20" s="37">
        <f>SUM(C20:E20)</f>
        <v>9850</v>
      </c>
      <c r="G20" s="36">
        <v>1950</v>
      </c>
      <c r="H20" s="36">
        <v>1950</v>
      </c>
      <c r="I20" s="36">
        <f>1950+4000</f>
        <v>5950</v>
      </c>
      <c r="J20" s="37">
        <f>SUM(G20:I20)</f>
        <v>9850</v>
      </c>
      <c r="K20" s="36">
        <v>2000</v>
      </c>
      <c r="L20" s="36">
        <v>2000</v>
      </c>
      <c r="M20" s="36">
        <v>6000</v>
      </c>
      <c r="N20" s="38">
        <f>SUM(K20:M20)</f>
        <v>10000</v>
      </c>
      <c r="O20" s="36">
        <v>2000</v>
      </c>
      <c r="P20" s="36">
        <v>2000</v>
      </c>
      <c r="Q20" s="36">
        <v>6000</v>
      </c>
      <c r="R20" s="38">
        <f>SUM(O20:Q20)</f>
        <v>10000</v>
      </c>
      <c r="S20" s="38">
        <f>F20+J20+N20+R20</f>
        <v>39700</v>
      </c>
      <c r="T20" s="39"/>
    </row>
    <row r="21" spans="1:53" ht="15" customHeight="1" hidden="1">
      <c r="A21" s="30" t="s">
        <v>81</v>
      </c>
      <c r="C21" s="30">
        <f>386666.82</f>
        <v>386666.82</v>
      </c>
      <c r="D21" s="30">
        <v>393464.27</v>
      </c>
      <c r="E21" s="30">
        <v>395644.68</v>
      </c>
      <c r="G21" s="30">
        <v>331678.79</v>
      </c>
      <c r="H21" s="30">
        <v>343368.63</v>
      </c>
      <c r="I21" s="30">
        <v>266553.37</v>
      </c>
      <c r="K21" s="30">
        <v>273815.66</v>
      </c>
      <c r="L21" s="44">
        <v>212261.73</v>
      </c>
      <c r="M21" s="30">
        <v>210428.48</v>
      </c>
      <c r="O21" s="30">
        <v>221737.77</v>
      </c>
      <c r="P21" s="30">
        <v>330596.04</v>
      </c>
      <c r="Q21" s="30">
        <v>381647.45</v>
      </c>
      <c r="S21" s="30">
        <f>SUM(C21:R21)</f>
        <v>3747863.6900000004</v>
      </c>
      <c r="T21" s="39"/>
      <c r="AW21" s="43"/>
      <c r="AX21" s="43"/>
      <c r="AY21" s="43"/>
      <c r="AZ21" s="43"/>
      <c r="BA21" s="43"/>
    </row>
    <row r="22" spans="1:53" ht="15" customHeight="1" hidden="1">
      <c r="A22" s="30" t="s">
        <v>81</v>
      </c>
      <c r="C22" s="30">
        <v>35494.45</v>
      </c>
      <c r="D22" s="30">
        <v>51392.44</v>
      </c>
      <c r="E22" s="30">
        <v>36659.29</v>
      </c>
      <c r="G22" s="30">
        <v>34884.27</v>
      </c>
      <c r="H22" s="30">
        <v>21055.23</v>
      </c>
      <c r="I22" s="30">
        <v>21896.24</v>
      </c>
      <c r="K22" s="30">
        <v>14414.19</v>
      </c>
      <c r="L22" s="44">
        <v>16937.25</v>
      </c>
      <c r="M22" s="30">
        <v>18081.79</v>
      </c>
      <c r="O22" s="30">
        <v>18309.3</v>
      </c>
      <c r="P22" s="30">
        <v>26838.55</v>
      </c>
      <c r="Q22" s="30">
        <v>49457.66</v>
      </c>
      <c r="S22" s="30">
        <f>SUM(C22:R22)</f>
        <v>345420.66000000003</v>
      </c>
      <c r="T22" s="39"/>
      <c r="AW22" s="43"/>
      <c r="AX22" s="43"/>
      <c r="AY22" s="43"/>
      <c r="AZ22" s="43"/>
      <c r="BA22" s="43"/>
    </row>
    <row r="23" spans="1:53" ht="15" customHeight="1" hidden="1">
      <c r="A23" s="30" t="s">
        <v>14</v>
      </c>
      <c r="C23" s="62">
        <f>B19+C19-C21-C22</f>
        <v>768812.19</v>
      </c>
      <c r="D23" s="62">
        <f>C23+D19-D21-D22</f>
        <v>775703.1100000001</v>
      </c>
      <c r="E23" s="62">
        <f>D23+E19-E21-E22</f>
        <v>715692.7500000002</v>
      </c>
      <c r="G23" s="62">
        <f>E23+G19-G21-G22</f>
        <v>667802.6400000001</v>
      </c>
      <c r="H23" s="62">
        <f>G23+H19-H21-H22</f>
        <v>586172.5900000002</v>
      </c>
      <c r="I23" s="62">
        <f>H23+I19-I21-I22</f>
        <v>515037.66000000027</v>
      </c>
      <c r="K23" s="62">
        <f>I23+K19-K21-K22</f>
        <v>437041.0500000003</v>
      </c>
      <c r="L23" s="62">
        <f>K23+L19-L21-L22</f>
        <v>426702.3300000003</v>
      </c>
      <c r="M23" s="62">
        <f>L23+M19-M21-M22</f>
        <v>443849.05000000034</v>
      </c>
      <c r="O23" s="62">
        <f>M23+O19-O21-O22</f>
        <v>554896.7100000003</v>
      </c>
      <c r="P23" s="62">
        <f>O23+P19-P21-P22</f>
        <v>648882.2000000002</v>
      </c>
      <c r="Q23" s="62">
        <f>P23+Q19-Q21-Q22</f>
        <v>716911.9800000001</v>
      </c>
      <c r="S23" s="62">
        <f>SUM(S21:S22)</f>
        <v>4093284.3500000006</v>
      </c>
      <c r="T23" s="39"/>
      <c r="AW23" s="43"/>
      <c r="AX23" s="43"/>
      <c r="AY23" s="43"/>
      <c r="AZ23" s="43"/>
      <c r="BA23" s="43"/>
    </row>
    <row r="24" spans="3:53" ht="14.25" customHeight="1">
      <c r="C24" s="44"/>
      <c r="O24" s="94" t="s">
        <v>69</v>
      </c>
      <c r="P24" s="95"/>
      <c r="Q24" s="95"/>
      <c r="R24" s="96"/>
      <c r="S24" s="59">
        <f>23700+12000</f>
        <v>35700</v>
      </c>
      <c r="T24" s="39" t="s">
        <v>107</v>
      </c>
      <c r="U24" s="31" t="s">
        <v>108</v>
      </c>
      <c r="AW24" s="43"/>
      <c r="AX24" s="43"/>
      <c r="AY24" s="43"/>
      <c r="AZ24" s="43"/>
      <c r="BA24" s="43"/>
    </row>
    <row r="25" spans="1:53" ht="10.5">
      <c r="A25" s="45"/>
      <c r="B25" s="46"/>
      <c r="C25" s="46"/>
      <c r="O25" s="91" t="s">
        <v>82</v>
      </c>
      <c r="P25" s="91"/>
      <c r="Q25" s="91"/>
      <c r="R25" s="91"/>
      <c r="S25" s="17">
        <f>B19</f>
        <v>686956.0599999998</v>
      </c>
      <c r="T25" s="31">
        <v>677247.88</v>
      </c>
      <c r="U25" s="70">
        <f>S25-T25</f>
        <v>9708.179999999818</v>
      </c>
      <c r="AW25" s="90"/>
      <c r="AX25" s="90"/>
      <c r="AY25" s="90"/>
      <c r="AZ25" s="90"/>
      <c r="BA25" s="47"/>
    </row>
    <row r="26" spans="3:53" ht="10.5">
      <c r="C26" s="44"/>
      <c r="O26" s="91" t="s">
        <v>83</v>
      </c>
      <c r="P26" s="91"/>
      <c r="Q26" s="91"/>
      <c r="R26" s="91"/>
      <c r="S26" s="17">
        <f>S19</f>
        <v>4123240.27</v>
      </c>
      <c r="T26" s="70"/>
      <c r="U26" s="31"/>
      <c r="AW26" s="43"/>
      <c r="AX26" s="43"/>
      <c r="AY26" s="43"/>
      <c r="AZ26" s="43"/>
      <c r="BA26" s="43"/>
    </row>
    <row r="27" spans="1:53" ht="10.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48"/>
      <c r="O27" s="91" t="s">
        <v>84</v>
      </c>
      <c r="P27" s="91"/>
      <c r="Q27" s="91"/>
      <c r="R27" s="91"/>
      <c r="S27" s="17">
        <f>S23</f>
        <v>4093284.3500000006</v>
      </c>
      <c r="T27" s="70"/>
      <c r="U27" s="70"/>
      <c r="AW27" s="43"/>
      <c r="AX27" s="43"/>
      <c r="AY27" s="43"/>
      <c r="AZ27" s="43"/>
      <c r="BA27" s="43"/>
    </row>
    <row r="28" spans="1:53" ht="31.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48"/>
      <c r="O28" s="100" t="s">
        <v>85</v>
      </c>
      <c r="P28" s="100"/>
      <c r="Q28" s="100"/>
      <c r="R28" s="100"/>
      <c r="S28" s="49">
        <f>S26+S25-S27</f>
        <v>716911.9799999995</v>
      </c>
      <c r="T28" s="70">
        <v>707203.8</v>
      </c>
      <c r="U28" s="70">
        <f>S28-T28</f>
        <v>9708.17999999947</v>
      </c>
      <c r="AW28" s="43"/>
      <c r="AX28" s="43"/>
      <c r="AY28" s="43"/>
      <c r="AZ28" s="43"/>
      <c r="BA28" s="43"/>
    </row>
    <row r="29" spans="1:21" ht="33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00" t="s">
        <v>86</v>
      </c>
      <c r="P29" s="100"/>
      <c r="Q29" s="100"/>
      <c r="R29" s="100"/>
      <c r="S29" s="49">
        <f>Q19</f>
        <v>499134.88999999996</v>
      </c>
      <c r="T29" s="31"/>
      <c r="U29" s="70"/>
    </row>
    <row r="30" spans="12:23" ht="10.5">
      <c r="L30" s="44"/>
      <c r="O30" s="97" t="s">
        <v>18</v>
      </c>
      <c r="P30" s="98"/>
      <c r="Q30" s="98"/>
      <c r="R30" s="99"/>
      <c r="S30" s="50">
        <f>S27/(S26+S25)</f>
        <v>0.8509599336873638</v>
      </c>
      <c r="V30" s="44"/>
      <c r="W30" s="44"/>
    </row>
    <row r="31" spans="12:23" ht="10.5">
      <c r="L31" s="44"/>
      <c r="V31" s="44"/>
      <c r="W31" s="44"/>
    </row>
    <row r="32" spans="11:19" ht="10.5">
      <c r="K32" s="44"/>
      <c r="L32" s="44"/>
      <c r="S32" s="44"/>
    </row>
    <row r="33" ht="10.5">
      <c r="W33" s="44"/>
    </row>
    <row r="34" spans="1:11" ht="10.5">
      <c r="A34" s="88" t="s">
        <v>38</v>
      </c>
      <c r="B34" s="88"/>
      <c r="C34" s="88"/>
      <c r="D34" s="88"/>
      <c r="E34" s="88"/>
      <c r="F34" s="51"/>
      <c r="H34" s="30" t="s">
        <v>39</v>
      </c>
      <c r="J34" s="52"/>
      <c r="K34" s="44"/>
    </row>
  </sheetData>
  <sheetProtection/>
  <mergeCells count="13">
    <mergeCell ref="O28:R28"/>
    <mergeCell ref="O29:R29"/>
    <mergeCell ref="O27:R27"/>
    <mergeCell ref="A34:E34"/>
    <mergeCell ref="A27:M27"/>
    <mergeCell ref="A28:M28"/>
    <mergeCell ref="AW25:AZ25"/>
    <mergeCell ref="O25:R25"/>
    <mergeCell ref="A2:S2"/>
    <mergeCell ref="A4:S4"/>
    <mergeCell ref="O24:R24"/>
    <mergeCell ref="O30:R30"/>
    <mergeCell ref="O26:R26"/>
  </mergeCells>
  <printOptions/>
  <pageMargins left="0.25" right="0.25" top="0.75" bottom="0.75" header="0.3" footer="0.3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9.140625" style="19" customWidth="1"/>
    <col min="2" max="2" width="11.421875" style="0" customWidth="1"/>
    <col min="3" max="5" width="11.140625" style="0" customWidth="1"/>
    <col min="6" max="8" width="11.8515625" style="0" customWidth="1"/>
    <col min="9" max="9" width="10.28125" style="0" customWidth="1"/>
  </cols>
  <sheetData>
    <row r="1" spans="1:10" ht="15">
      <c r="A1" s="101" t="s">
        <v>71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20" t="s">
        <v>44</v>
      </c>
      <c r="B2" s="20" t="s">
        <v>45</v>
      </c>
      <c r="C2" s="103" t="s">
        <v>46</v>
      </c>
      <c r="D2" s="103"/>
      <c r="E2" s="20" t="s">
        <v>49</v>
      </c>
      <c r="F2" s="103" t="s">
        <v>47</v>
      </c>
      <c r="G2" s="103"/>
      <c r="H2" s="20" t="s">
        <v>49</v>
      </c>
      <c r="I2" s="103" t="s">
        <v>48</v>
      </c>
      <c r="J2" s="103"/>
    </row>
    <row r="3" spans="1:10" ht="15">
      <c r="A3" s="20"/>
      <c r="B3" s="20"/>
      <c r="C3" s="20" t="s">
        <v>72</v>
      </c>
      <c r="D3" s="20" t="s">
        <v>73</v>
      </c>
      <c r="E3" s="20"/>
      <c r="F3" s="20" t="s">
        <v>72</v>
      </c>
      <c r="G3" s="20" t="s">
        <v>73</v>
      </c>
      <c r="H3" s="20"/>
      <c r="I3" s="20" t="s">
        <v>72</v>
      </c>
      <c r="J3" s="20" t="s">
        <v>73</v>
      </c>
    </row>
    <row r="4" spans="1:10" ht="15">
      <c r="A4" s="20">
        <v>2014</v>
      </c>
      <c r="B4" s="21" t="s">
        <v>50</v>
      </c>
      <c r="C4" s="22">
        <v>33186.91</v>
      </c>
      <c r="D4" s="22">
        <v>4539.36</v>
      </c>
      <c r="E4" s="22">
        <f>C4+D4</f>
        <v>37726.270000000004</v>
      </c>
      <c r="F4" s="22">
        <v>0</v>
      </c>
      <c r="G4" s="22">
        <v>0</v>
      </c>
      <c r="H4" s="23">
        <f>F4+G4</f>
        <v>0</v>
      </c>
      <c r="I4" s="22">
        <f>C4-F4</f>
        <v>33186.91</v>
      </c>
      <c r="J4" s="22">
        <f>D4-G4</f>
        <v>4539.36</v>
      </c>
    </row>
    <row r="5" spans="1:10" ht="15">
      <c r="A5" s="20">
        <v>2014</v>
      </c>
      <c r="B5" s="21" t="s">
        <v>51</v>
      </c>
      <c r="C5" s="22">
        <v>33186.91</v>
      </c>
      <c r="D5" s="22">
        <v>4539.36</v>
      </c>
      <c r="E5" s="22">
        <f aca="true" t="shared" si="0" ref="E5:E30">C5+D5</f>
        <v>37726.270000000004</v>
      </c>
      <c r="F5" s="22">
        <v>16758.93</v>
      </c>
      <c r="G5" s="22">
        <v>2817.33</v>
      </c>
      <c r="H5" s="23">
        <f aca="true" t="shared" si="1" ref="H5:H30">F5+G5</f>
        <v>19576.260000000002</v>
      </c>
      <c r="I5" s="22">
        <f>I4+C5-F5</f>
        <v>49614.89000000001</v>
      </c>
      <c r="J5" s="22">
        <f>J4+D5-G5</f>
        <v>6261.389999999999</v>
      </c>
    </row>
    <row r="6" spans="1:10" ht="15">
      <c r="A6" s="20">
        <v>2014</v>
      </c>
      <c r="B6" s="21" t="s">
        <v>52</v>
      </c>
      <c r="C6" s="22">
        <v>33186.91</v>
      </c>
      <c r="D6" s="22">
        <v>4539.36</v>
      </c>
      <c r="E6" s="22">
        <f t="shared" si="0"/>
        <v>37726.270000000004</v>
      </c>
      <c r="F6" s="22">
        <v>36304.3</v>
      </c>
      <c r="G6" s="22">
        <v>6060.27</v>
      </c>
      <c r="H6" s="23">
        <f t="shared" si="1"/>
        <v>42364.57000000001</v>
      </c>
      <c r="I6" s="22">
        <f aca="true" t="shared" si="2" ref="I6:I23">I5+C6-F6</f>
        <v>46497.500000000015</v>
      </c>
      <c r="J6" s="22">
        <f aca="true" t="shared" si="3" ref="J6:J23">J5+D6-G6</f>
        <v>4740.48</v>
      </c>
    </row>
    <row r="7" spans="1:10" ht="15">
      <c r="A7" s="20">
        <v>2015</v>
      </c>
      <c r="B7" s="21" t="s">
        <v>53</v>
      </c>
      <c r="C7" s="22">
        <v>33186.91</v>
      </c>
      <c r="D7" s="22">
        <v>4539.36</v>
      </c>
      <c r="E7" s="22">
        <f t="shared" si="0"/>
        <v>37726.270000000004</v>
      </c>
      <c r="F7" s="22">
        <v>25614.75</v>
      </c>
      <c r="G7" s="22">
        <v>3376.38</v>
      </c>
      <c r="H7" s="23">
        <f t="shared" si="1"/>
        <v>28991.13</v>
      </c>
      <c r="I7" s="22">
        <f t="shared" si="2"/>
        <v>54069.66000000002</v>
      </c>
      <c r="J7" s="22">
        <f t="shared" si="3"/>
        <v>5903.46</v>
      </c>
    </row>
    <row r="8" spans="1:10" ht="15">
      <c r="A8" s="20">
        <v>2015</v>
      </c>
      <c r="B8" s="21" t="s">
        <v>54</v>
      </c>
      <c r="C8" s="22">
        <v>33186.91</v>
      </c>
      <c r="D8" s="22">
        <v>4539.36</v>
      </c>
      <c r="E8" s="22">
        <f t="shared" si="0"/>
        <v>37726.270000000004</v>
      </c>
      <c r="F8" s="22">
        <v>30429.61</v>
      </c>
      <c r="G8" s="22">
        <v>5021.15</v>
      </c>
      <c r="H8" s="23">
        <f t="shared" si="1"/>
        <v>35450.76</v>
      </c>
      <c r="I8" s="22">
        <f t="shared" si="2"/>
        <v>56826.96000000002</v>
      </c>
      <c r="J8" s="22">
        <f t="shared" si="3"/>
        <v>5421.67</v>
      </c>
    </row>
    <row r="9" spans="1:10" ht="15">
      <c r="A9" s="20">
        <v>2015</v>
      </c>
      <c r="B9" s="21" t="s">
        <v>55</v>
      </c>
      <c r="C9" s="22">
        <v>33186.91</v>
      </c>
      <c r="D9" s="22">
        <v>4539.36</v>
      </c>
      <c r="E9" s="22">
        <f t="shared" si="0"/>
        <v>37726.270000000004</v>
      </c>
      <c r="F9" s="22">
        <v>34143.08</v>
      </c>
      <c r="G9" s="22">
        <v>3997.53</v>
      </c>
      <c r="H9" s="23">
        <f t="shared" si="1"/>
        <v>38140.61</v>
      </c>
      <c r="I9" s="22">
        <f t="shared" si="2"/>
        <v>55870.79000000002</v>
      </c>
      <c r="J9" s="22">
        <f t="shared" si="3"/>
        <v>5963.499999999998</v>
      </c>
    </row>
    <row r="10" spans="1:10" ht="15">
      <c r="A10" s="20">
        <v>2015</v>
      </c>
      <c r="B10" s="21" t="s">
        <v>56</v>
      </c>
      <c r="C10" s="22">
        <v>33186.91</v>
      </c>
      <c r="D10" s="22">
        <v>4539.36</v>
      </c>
      <c r="E10" s="22">
        <f t="shared" si="0"/>
        <v>37726.270000000004</v>
      </c>
      <c r="F10" s="22">
        <v>27954.17</v>
      </c>
      <c r="G10" s="22">
        <v>3865.92</v>
      </c>
      <c r="H10" s="23">
        <f t="shared" si="1"/>
        <v>31820.089999999997</v>
      </c>
      <c r="I10" s="22">
        <f t="shared" si="2"/>
        <v>61103.53000000003</v>
      </c>
      <c r="J10" s="22">
        <f t="shared" si="3"/>
        <v>6636.939999999997</v>
      </c>
    </row>
    <row r="11" spans="1:10" ht="15">
      <c r="A11" s="20">
        <v>2015</v>
      </c>
      <c r="B11" s="21" t="s">
        <v>57</v>
      </c>
      <c r="C11" s="22">
        <v>33186.91</v>
      </c>
      <c r="D11" s="22">
        <v>4539.36</v>
      </c>
      <c r="E11" s="22">
        <f t="shared" si="0"/>
        <v>37726.270000000004</v>
      </c>
      <c r="F11" s="22">
        <v>27109.01</v>
      </c>
      <c r="G11" s="22">
        <v>3166.04</v>
      </c>
      <c r="H11" s="23">
        <f t="shared" si="1"/>
        <v>30275.05</v>
      </c>
      <c r="I11" s="22">
        <f t="shared" si="2"/>
        <v>67181.43000000004</v>
      </c>
      <c r="J11" s="22">
        <f t="shared" si="3"/>
        <v>8010.259999999996</v>
      </c>
    </row>
    <row r="12" spans="1:10" ht="15">
      <c r="A12" s="20">
        <v>2015</v>
      </c>
      <c r="B12" s="21" t="s">
        <v>58</v>
      </c>
      <c r="C12" s="22">
        <v>33186.91</v>
      </c>
      <c r="D12" s="22">
        <v>4539.36</v>
      </c>
      <c r="E12" s="22">
        <f t="shared" si="0"/>
        <v>37726.270000000004</v>
      </c>
      <c r="F12" s="22">
        <v>33110.53</v>
      </c>
      <c r="G12" s="22">
        <v>4347.46</v>
      </c>
      <c r="H12" s="23">
        <f t="shared" si="1"/>
        <v>37457.99</v>
      </c>
      <c r="I12" s="22">
        <f t="shared" si="2"/>
        <v>67257.81000000004</v>
      </c>
      <c r="J12" s="22">
        <f t="shared" si="3"/>
        <v>8202.159999999996</v>
      </c>
    </row>
    <row r="13" spans="1:10" ht="15">
      <c r="A13" s="20">
        <v>2015</v>
      </c>
      <c r="B13" s="21" t="s">
        <v>59</v>
      </c>
      <c r="C13" s="22">
        <v>33186.91</v>
      </c>
      <c r="D13" s="22">
        <v>4539.36</v>
      </c>
      <c r="E13" s="22">
        <f t="shared" si="0"/>
        <v>37726.270000000004</v>
      </c>
      <c r="F13" s="22">
        <v>40263.24</v>
      </c>
      <c r="G13" s="22">
        <v>6067.67</v>
      </c>
      <c r="H13" s="23">
        <f t="shared" si="1"/>
        <v>46330.909999999996</v>
      </c>
      <c r="I13" s="22">
        <f t="shared" si="2"/>
        <v>60181.48000000005</v>
      </c>
      <c r="J13" s="22">
        <f t="shared" si="3"/>
        <v>6673.849999999997</v>
      </c>
    </row>
    <row r="14" spans="1:10" ht="15">
      <c r="A14" s="20">
        <v>2015</v>
      </c>
      <c r="B14" s="21" t="s">
        <v>60</v>
      </c>
      <c r="C14" s="22">
        <v>33186.91</v>
      </c>
      <c r="D14" s="22">
        <v>4539.36</v>
      </c>
      <c r="E14" s="22">
        <f t="shared" si="0"/>
        <v>37726.270000000004</v>
      </c>
      <c r="F14" s="22">
        <v>28841.19</v>
      </c>
      <c r="G14" s="22">
        <v>4834.66</v>
      </c>
      <c r="H14" s="23">
        <f t="shared" si="1"/>
        <v>33675.85</v>
      </c>
      <c r="I14" s="22">
        <f t="shared" si="2"/>
        <v>64527.20000000004</v>
      </c>
      <c r="J14" s="22">
        <f t="shared" si="3"/>
        <v>6378.549999999996</v>
      </c>
    </row>
    <row r="15" spans="1:10" ht="15">
      <c r="A15" s="20">
        <v>2015</v>
      </c>
      <c r="B15" s="21" t="s">
        <v>61</v>
      </c>
      <c r="C15" s="22">
        <v>33186.91</v>
      </c>
      <c r="D15" s="22">
        <v>4539.36</v>
      </c>
      <c r="E15" s="22">
        <f t="shared" si="0"/>
        <v>37726.270000000004</v>
      </c>
      <c r="F15" s="22">
        <v>26534.76</v>
      </c>
      <c r="G15" s="22">
        <v>5154.39</v>
      </c>
      <c r="H15" s="23">
        <f t="shared" si="1"/>
        <v>31689.149999999998</v>
      </c>
      <c r="I15" s="22">
        <f t="shared" si="2"/>
        <v>71179.35000000005</v>
      </c>
      <c r="J15" s="22">
        <f t="shared" si="3"/>
        <v>5763.519999999996</v>
      </c>
    </row>
    <row r="16" spans="1:10" ht="15">
      <c r="A16" s="20">
        <v>2015</v>
      </c>
      <c r="B16" s="21" t="s">
        <v>50</v>
      </c>
      <c r="C16" s="22">
        <v>33186.91</v>
      </c>
      <c r="D16" s="22">
        <v>4539.36</v>
      </c>
      <c r="E16" s="22">
        <f t="shared" si="0"/>
        <v>37726.270000000004</v>
      </c>
      <c r="F16" s="22">
        <v>38238.99</v>
      </c>
      <c r="G16" s="22">
        <v>3723.29</v>
      </c>
      <c r="H16" s="23">
        <f t="shared" si="1"/>
        <v>41962.28</v>
      </c>
      <c r="I16" s="22">
        <f t="shared" si="2"/>
        <v>66127.27000000005</v>
      </c>
      <c r="J16" s="22">
        <f t="shared" si="3"/>
        <v>6579.589999999996</v>
      </c>
    </row>
    <row r="17" spans="1:10" ht="15">
      <c r="A17" s="20">
        <v>2015</v>
      </c>
      <c r="B17" s="21" t="s">
        <v>51</v>
      </c>
      <c r="C17" s="22">
        <v>33186.91</v>
      </c>
      <c r="D17" s="22">
        <v>4539.36</v>
      </c>
      <c r="E17" s="22">
        <f t="shared" si="0"/>
        <v>37726.270000000004</v>
      </c>
      <c r="F17" s="22">
        <v>28891.91</v>
      </c>
      <c r="G17" s="22">
        <v>3835.17</v>
      </c>
      <c r="H17" s="23">
        <f t="shared" si="1"/>
        <v>32727.08</v>
      </c>
      <c r="I17" s="22">
        <f t="shared" si="2"/>
        <v>70422.27000000005</v>
      </c>
      <c r="J17" s="22">
        <f t="shared" si="3"/>
        <v>7283.779999999995</v>
      </c>
    </row>
    <row r="18" spans="1:10" ht="15">
      <c r="A18" s="20">
        <v>2015</v>
      </c>
      <c r="B18" s="21" t="s">
        <v>52</v>
      </c>
      <c r="C18" s="22">
        <v>33186.91</v>
      </c>
      <c r="D18" s="22">
        <v>4539.36</v>
      </c>
      <c r="E18" s="22">
        <f t="shared" si="0"/>
        <v>37726.270000000004</v>
      </c>
      <c r="F18" s="22">
        <v>37146.76</v>
      </c>
      <c r="G18" s="22">
        <v>4390.34</v>
      </c>
      <c r="H18" s="24">
        <f t="shared" si="1"/>
        <v>41537.100000000006</v>
      </c>
      <c r="I18" s="53">
        <f t="shared" si="2"/>
        <v>66462.42000000004</v>
      </c>
      <c r="J18" s="53">
        <f t="shared" si="3"/>
        <v>7432.799999999996</v>
      </c>
    </row>
    <row r="19" spans="1:10" ht="15">
      <c r="A19" s="60">
        <v>2016</v>
      </c>
      <c r="B19" s="21" t="s">
        <v>53</v>
      </c>
      <c r="C19" s="22">
        <v>33186.91</v>
      </c>
      <c r="D19" s="22">
        <v>4539.36</v>
      </c>
      <c r="E19" s="22">
        <f t="shared" si="0"/>
        <v>37726.270000000004</v>
      </c>
      <c r="F19" s="22">
        <v>30126.95</v>
      </c>
      <c r="G19" s="22">
        <v>3248.45</v>
      </c>
      <c r="H19" s="24">
        <f t="shared" si="1"/>
        <v>33375.4</v>
      </c>
      <c r="I19" s="61">
        <f t="shared" si="2"/>
        <v>69522.38000000005</v>
      </c>
      <c r="J19" s="61">
        <f t="shared" si="3"/>
        <v>8723.709999999995</v>
      </c>
    </row>
    <row r="20" spans="1:10" ht="15">
      <c r="A20" s="60">
        <v>2016</v>
      </c>
      <c r="B20" s="21" t="s">
        <v>54</v>
      </c>
      <c r="C20" s="22">
        <v>33186.91</v>
      </c>
      <c r="D20" s="22">
        <v>4539.36</v>
      </c>
      <c r="E20" s="22">
        <f t="shared" si="0"/>
        <v>37726.270000000004</v>
      </c>
      <c r="F20" s="22">
        <v>31112.88</v>
      </c>
      <c r="G20" s="22">
        <v>4355.33</v>
      </c>
      <c r="H20" s="24">
        <f t="shared" si="1"/>
        <v>35468.21</v>
      </c>
      <c r="I20" s="61">
        <f t="shared" si="2"/>
        <v>71596.41000000005</v>
      </c>
      <c r="J20" s="61">
        <f t="shared" si="3"/>
        <v>8907.739999999996</v>
      </c>
    </row>
    <row r="21" spans="1:10" ht="15">
      <c r="A21" s="60">
        <v>2016</v>
      </c>
      <c r="B21" s="21" t="s">
        <v>55</v>
      </c>
      <c r="C21" s="22">
        <v>33186.91</v>
      </c>
      <c r="D21" s="22">
        <v>4539.36</v>
      </c>
      <c r="E21" s="22">
        <f t="shared" si="0"/>
        <v>37726.270000000004</v>
      </c>
      <c r="F21" s="22">
        <v>32157.5</v>
      </c>
      <c r="G21" s="22">
        <v>4615.64</v>
      </c>
      <c r="H21" s="24">
        <f t="shared" si="1"/>
        <v>36773.14</v>
      </c>
      <c r="I21" s="61">
        <f t="shared" si="2"/>
        <v>72625.82000000005</v>
      </c>
      <c r="J21" s="61">
        <f t="shared" si="3"/>
        <v>8831.459999999995</v>
      </c>
    </row>
    <row r="22" spans="1:10" ht="15">
      <c r="A22" s="60">
        <v>2016</v>
      </c>
      <c r="B22" s="21" t="s">
        <v>56</v>
      </c>
      <c r="C22" s="22">
        <v>33186.91</v>
      </c>
      <c r="D22" s="22">
        <v>4539.36</v>
      </c>
      <c r="E22" s="22">
        <f t="shared" si="0"/>
        <v>37726.270000000004</v>
      </c>
      <c r="F22" s="22">
        <v>37173.64</v>
      </c>
      <c r="G22" s="22">
        <v>5219.78</v>
      </c>
      <c r="H22" s="24">
        <f t="shared" si="1"/>
        <v>42393.42</v>
      </c>
      <c r="I22" s="61">
        <f t="shared" si="2"/>
        <v>68639.09000000005</v>
      </c>
      <c r="J22" s="61">
        <f t="shared" si="3"/>
        <v>8151.039999999996</v>
      </c>
    </row>
    <row r="23" spans="1:10" ht="15">
      <c r="A23" s="60">
        <v>2016</v>
      </c>
      <c r="B23" s="21" t="s">
        <v>57</v>
      </c>
      <c r="C23" s="22">
        <v>33186.91</v>
      </c>
      <c r="D23" s="22">
        <v>4539.36</v>
      </c>
      <c r="E23" s="22">
        <f t="shared" si="0"/>
        <v>37726.270000000004</v>
      </c>
      <c r="F23" s="22">
        <v>30655.48</v>
      </c>
      <c r="G23" s="22">
        <v>3682.17</v>
      </c>
      <c r="H23" s="24">
        <f t="shared" si="1"/>
        <v>34337.65</v>
      </c>
      <c r="I23" s="61">
        <f t="shared" si="2"/>
        <v>71170.52000000006</v>
      </c>
      <c r="J23" s="61">
        <f t="shared" si="3"/>
        <v>9008.229999999996</v>
      </c>
    </row>
    <row r="24" spans="1:10" ht="15">
      <c r="A24" s="60">
        <v>2016</v>
      </c>
      <c r="B24" s="21" t="s">
        <v>58</v>
      </c>
      <c r="C24" s="22">
        <v>33186.91</v>
      </c>
      <c r="D24" s="22">
        <v>4539.36</v>
      </c>
      <c r="E24" s="22">
        <f t="shared" si="0"/>
        <v>37726.270000000004</v>
      </c>
      <c r="F24" s="22">
        <v>35072.36</v>
      </c>
      <c r="G24" s="22">
        <v>4355.48</v>
      </c>
      <c r="H24" s="24">
        <f t="shared" si="1"/>
        <v>39427.84</v>
      </c>
      <c r="I24" s="61">
        <f aca="true" t="shared" si="4" ref="I24:J30">I23+C24-F24</f>
        <v>69285.07000000007</v>
      </c>
      <c r="J24" s="61">
        <f t="shared" si="4"/>
        <v>9192.109999999997</v>
      </c>
    </row>
    <row r="25" spans="1:10" ht="15">
      <c r="A25" s="60">
        <v>2016</v>
      </c>
      <c r="B25" s="21" t="s">
        <v>59</v>
      </c>
      <c r="C25" s="22">
        <v>33186.91</v>
      </c>
      <c r="D25" s="22">
        <v>4539.36</v>
      </c>
      <c r="E25" s="22">
        <f t="shared" si="0"/>
        <v>37726.270000000004</v>
      </c>
      <c r="F25" s="22">
        <v>31306.55</v>
      </c>
      <c r="G25" s="22">
        <v>4174.06</v>
      </c>
      <c r="H25" s="24">
        <f t="shared" si="1"/>
        <v>35480.61</v>
      </c>
      <c r="I25" s="61">
        <f t="shared" si="4"/>
        <v>71165.43000000007</v>
      </c>
      <c r="J25" s="61">
        <f t="shared" si="4"/>
        <v>9557.409999999996</v>
      </c>
    </row>
    <row r="26" spans="1:10" ht="15">
      <c r="A26" s="60">
        <v>2016</v>
      </c>
      <c r="B26" s="21" t="s">
        <v>60</v>
      </c>
      <c r="C26" s="22">
        <v>33186.91</v>
      </c>
      <c r="D26" s="22">
        <v>4539.36</v>
      </c>
      <c r="E26" s="22">
        <f t="shared" si="0"/>
        <v>37726.270000000004</v>
      </c>
      <c r="F26" s="22">
        <v>30596.19</v>
      </c>
      <c r="G26" s="22">
        <v>4372.94</v>
      </c>
      <c r="H26" s="24">
        <f t="shared" si="1"/>
        <v>34969.13</v>
      </c>
      <c r="I26" s="61">
        <f t="shared" si="4"/>
        <v>73756.15000000007</v>
      </c>
      <c r="J26" s="61">
        <f t="shared" si="4"/>
        <v>9723.829999999998</v>
      </c>
    </row>
    <row r="27" spans="1:10" ht="15">
      <c r="A27" s="60">
        <v>2016</v>
      </c>
      <c r="B27" s="21" t="s">
        <v>61</v>
      </c>
      <c r="C27" s="22">
        <v>33186.91</v>
      </c>
      <c r="D27" s="22">
        <v>4539.36</v>
      </c>
      <c r="E27" s="22">
        <f t="shared" si="0"/>
        <v>37726.270000000004</v>
      </c>
      <c r="F27" s="22">
        <v>29515.03</v>
      </c>
      <c r="G27" s="22">
        <v>4941.71</v>
      </c>
      <c r="H27" s="24">
        <f t="shared" si="1"/>
        <v>34456.74</v>
      </c>
      <c r="I27" s="61">
        <f t="shared" si="4"/>
        <v>77428.03000000007</v>
      </c>
      <c r="J27" s="61">
        <f t="shared" si="4"/>
        <v>9321.48</v>
      </c>
    </row>
    <row r="28" spans="1:10" ht="15">
      <c r="A28" s="60">
        <v>2016</v>
      </c>
      <c r="B28" s="21" t="s">
        <v>50</v>
      </c>
      <c r="C28" s="22">
        <v>33186.91</v>
      </c>
      <c r="D28" s="22">
        <v>4561.5</v>
      </c>
      <c r="E28" s="22">
        <f t="shared" si="0"/>
        <v>37748.41</v>
      </c>
      <c r="F28" s="22">
        <v>37961.33</v>
      </c>
      <c r="G28" s="22">
        <v>4720.17</v>
      </c>
      <c r="H28" s="24">
        <f t="shared" si="1"/>
        <v>42681.5</v>
      </c>
      <c r="I28" s="61">
        <f t="shared" si="4"/>
        <v>72653.61000000007</v>
      </c>
      <c r="J28" s="61">
        <f t="shared" si="4"/>
        <v>9162.81</v>
      </c>
    </row>
    <row r="29" spans="1:10" ht="15">
      <c r="A29" s="60">
        <v>2016</v>
      </c>
      <c r="B29" s="21" t="s">
        <v>51</v>
      </c>
      <c r="C29" s="22">
        <v>33186.91</v>
      </c>
      <c r="D29" s="22">
        <v>4561.5</v>
      </c>
      <c r="E29" s="22">
        <f t="shared" si="0"/>
        <v>37748.41</v>
      </c>
      <c r="F29" s="22">
        <v>35799.67</v>
      </c>
      <c r="G29" s="22">
        <v>5034.93</v>
      </c>
      <c r="H29" s="24">
        <f>F29+G29</f>
        <v>40834.6</v>
      </c>
      <c r="I29" s="61">
        <f t="shared" si="4"/>
        <v>70040.85000000008</v>
      </c>
      <c r="J29" s="61">
        <f t="shared" si="4"/>
        <v>8689.38</v>
      </c>
    </row>
    <row r="30" spans="1:10" ht="15">
      <c r="A30" s="60">
        <v>2016</v>
      </c>
      <c r="B30" s="21" t="s">
        <v>52</v>
      </c>
      <c r="C30" s="22">
        <v>33186.91</v>
      </c>
      <c r="D30" s="22">
        <v>4561.5</v>
      </c>
      <c r="E30" s="22">
        <f t="shared" si="0"/>
        <v>37748.41</v>
      </c>
      <c r="F30" s="22">
        <v>28873.63</v>
      </c>
      <c r="G30" s="22">
        <v>4621.78</v>
      </c>
      <c r="H30" s="24">
        <f t="shared" si="1"/>
        <v>33495.41</v>
      </c>
      <c r="I30" s="53">
        <f t="shared" si="4"/>
        <v>74354.13000000008</v>
      </c>
      <c r="J30" s="53">
        <f t="shared" si="4"/>
        <v>8629.099999999999</v>
      </c>
    </row>
    <row r="31" spans="1:10" ht="15">
      <c r="A31" s="60"/>
      <c r="B31" s="21"/>
      <c r="C31" s="22"/>
      <c r="D31" s="22"/>
      <c r="E31" s="22"/>
      <c r="F31" s="22"/>
      <c r="G31" s="22"/>
      <c r="H31" s="24"/>
      <c r="I31" s="53"/>
      <c r="J31" s="53"/>
    </row>
    <row r="32" spans="3:10" ht="15">
      <c r="C32" s="22">
        <f>SUM(C4:C31)</f>
        <v>896046.5700000006</v>
      </c>
      <c r="D32" s="22">
        <f>SUM(D4:D31)</f>
        <v>122629.14</v>
      </c>
      <c r="E32" s="18"/>
      <c r="F32" s="22">
        <f>SUM(F4:F31)</f>
        <v>821692.4400000001</v>
      </c>
      <c r="G32" s="22">
        <f>SUM(G4:G31)</f>
        <v>114000.03999999998</v>
      </c>
      <c r="H32" s="18"/>
      <c r="I32" s="18"/>
      <c r="J32" s="18"/>
    </row>
    <row r="33" spans="3:7" ht="15">
      <c r="C33" s="106">
        <f>C32+D32</f>
        <v>1018675.7100000007</v>
      </c>
      <c r="D33" s="107"/>
      <c r="F33" s="104">
        <f>F32+G32</f>
        <v>935692.48</v>
      </c>
      <c r="G33" s="105"/>
    </row>
    <row r="37" spans="6:8" ht="15">
      <c r="F37" s="18"/>
      <c r="G37" s="18"/>
      <c r="H37" s="18"/>
    </row>
    <row r="40" ht="15">
      <c r="H40" s="18"/>
    </row>
    <row r="42" ht="15">
      <c r="H42" s="18"/>
    </row>
  </sheetData>
  <sheetProtection/>
  <mergeCells count="6">
    <mergeCell ref="A1:J1"/>
    <mergeCell ref="I2:J2"/>
    <mergeCell ref="F33:G33"/>
    <mergeCell ref="C33:D33"/>
    <mergeCell ref="C2:D2"/>
    <mergeCell ref="F2:G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2016-02-25T12:04:51Z</cp:lastPrinted>
  <dcterms:created xsi:type="dcterms:W3CDTF">2006-09-28T05:33:49Z</dcterms:created>
  <dcterms:modified xsi:type="dcterms:W3CDTF">2017-03-14T09:02:05Z</dcterms:modified>
  <cp:category/>
  <cp:version/>
  <cp:contentType/>
  <cp:contentStatus/>
</cp:coreProperties>
</file>