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510" activeTab="2"/>
  </bookViews>
  <sheets>
    <sheet name="Смета" sheetId="1" r:id="rId1"/>
    <sheet name="Расшифровка" sheetId="2" r:id="rId2"/>
    <sheet name="Расчет 1 кв.м" sheetId="3" r:id="rId3"/>
  </sheets>
  <definedNames>
    <definedName name="налог">'Расшифровка'!$M$2</definedName>
    <definedName name="НДФЛ">'Расшифровка'!$M$1</definedName>
    <definedName name="_xlnm.Print_Area" localSheetId="2">'Расчет 1 кв.м'!$A$1:$I$37</definedName>
    <definedName name="_xlnm.Print_Area" localSheetId="1">'Расшифровка'!$A$1:$H$24</definedName>
  </definedNames>
  <calcPr fullCalcOnLoad="1"/>
</workbook>
</file>

<file path=xl/sharedStrings.xml><?xml version="1.0" encoding="utf-8"?>
<sst xmlns="http://schemas.openxmlformats.org/spreadsheetml/2006/main" count="110" uniqueCount="88">
  <si>
    <t xml:space="preserve">членов ТСЖ «Лыткина 12/2» </t>
  </si>
  <si>
    <t>№</t>
  </si>
  <si>
    <t>Наименование</t>
  </si>
  <si>
    <t>Источники поступления средств</t>
  </si>
  <si>
    <t>Размер платежей</t>
  </si>
  <si>
    <t>Собственники</t>
  </si>
  <si>
    <t>Собственники жилого фонда</t>
  </si>
  <si>
    <t>Уборка снега с крыши</t>
  </si>
  <si>
    <t xml:space="preserve">Объекты направления средств </t>
  </si>
  <si>
    <t>Обслуживающая организация</t>
  </si>
  <si>
    <t>Подрядная организация</t>
  </si>
  <si>
    <t>Торгующая организация</t>
  </si>
  <si>
    <t>Подогрев воды</t>
  </si>
  <si>
    <t>Потребление воды</t>
  </si>
  <si>
    <t>Пользование канализацией и очисткой стоков</t>
  </si>
  <si>
    <t>Вывоз мусора</t>
  </si>
  <si>
    <t>Техническое обслуживание домофонов</t>
  </si>
  <si>
    <t>Подготовка домов к отопительному сезону</t>
  </si>
  <si>
    <t xml:space="preserve"> Хозяйственные расходы</t>
  </si>
  <si>
    <t xml:space="preserve"> Взносы в резервный фонд</t>
  </si>
  <si>
    <t>Зар.плата с налогами</t>
  </si>
  <si>
    <t>НДФЛ</t>
  </si>
  <si>
    <t>налог</t>
  </si>
  <si>
    <t>З/п в месяц</t>
  </si>
  <si>
    <t xml:space="preserve">З/п в месяц
c налогами </t>
  </si>
  <si>
    <t xml:space="preserve">Утверждена общим собранием </t>
  </si>
  <si>
    <t>З/п за год
с налогами</t>
  </si>
  <si>
    <t>Потребление тепловой энергии</t>
  </si>
  <si>
    <t>Электроэнергия</t>
  </si>
  <si>
    <r>
      <t xml:space="preserve">Приложение №1 </t>
    </r>
    <r>
      <rPr>
        <sz val="12"/>
        <rFont val="Times New Roman"/>
        <family val="1"/>
      </rPr>
      <t xml:space="preserve"> к Смете</t>
    </r>
  </si>
  <si>
    <t>Управляющий</t>
  </si>
  <si>
    <t xml:space="preserve"> Бухгалтер</t>
  </si>
  <si>
    <t xml:space="preserve"> Председатель</t>
  </si>
  <si>
    <t>Статья расходов</t>
  </si>
  <si>
    <t>Электроэнергия МОП</t>
  </si>
  <si>
    <t>Единый минимальный налог 1%</t>
  </si>
  <si>
    <t>ИФНС  по г.Томску</t>
  </si>
  <si>
    <t>Должность</t>
  </si>
  <si>
    <t>Общий итог</t>
  </si>
  <si>
    <t xml:space="preserve">Управляющий ТСЖ "Лыткина, 12/2" </t>
  </si>
  <si>
    <t>Молодежников П.А.</t>
  </si>
  <si>
    <t xml:space="preserve">Председатель ТСЖ "Лыткина, 12/2" </t>
  </si>
  <si>
    <t xml:space="preserve">Бухгалтер ТСЖ "Лыткина, 12/2" </t>
  </si>
  <si>
    <t>Лапина Л.П.</t>
  </si>
  <si>
    <t>Лыткина 14/1</t>
  </si>
  <si>
    <t>Общая площадь</t>
  </si>
  <si>
    <t>Жилой фонд</t>
  </si>
  <si>
    <t>Нежилой фонд</t>
  </si>
  <si>
    <t>Лыткина 12/2</t>
  </si>
  <si>
    <t>Всего</t>
  </si>
  <si>
    <t>Расчет</t>
  </si>
  <si>
    <t>1. Площади в кв.м</t>
  </si>
  <si>
    <t>Расчетно-кассовые услуги банка</t>
  </si>
  <si>
    <t>ОАО "Томскпромстройбанк"</t>
  </si>
  <si>
    <t>Расчет стоимости 1 кв.метра в месяц на содержание общего имущества</t>
  </si>
  <si>
    <t>ИП Набиев Г.З.</t>
  </si>
  <si>
    <t>ИП Невская Е.Г.</t>
  </si>
  <si>
    <t>ИП Головко С.И.</t>
  </si>
  <si>
    <t xml:space="preserve">Обслуживание приборов учета </t>
  </si>
  <si>
    <t>3. Расчет сбора на текущий ремонт и благоустройство с квартиры в месяц</t>
  </si>
  <si>
    <t>10 руб на 40кв.м</t>
  </si>
  <si>
    <t>Благоустройство придововой территории</t>
  </si>
  <si>
    <t>19 руб на 45 кв.м</t>
  </si>
  <si>
    <t>Согласно условиям Договора и размеров обязательных платежей и взносов от домовладельцев жилых домов по ул.Лыткина 12/2 и ул.Лыткина 14/1</t>
  </si>
  <si>
    <t xml:space="preserve">ООО "Юг-Лайн" </t>
  </si>
  <si>
    <t>ИП Ильясов Ш.Т.</t>
  </si>
  <si>
    <t>Сантехник (по договору)</t>
  </si>
  <si>
    <t>Электрик (по договору)</t>
  </si>
  <si>
    <t>Итого</t>
  </si>
  <si>
    <t>Протокол от «___ » ________ 2010 г</t>
  </si>
  <si>
    <t>Дворник (по договору)</t>
  </si>
  <si>
    <t>Уборщица (по договору)</t>
  </si>
  <si>
    <t>13. Заработная плата</t>
  </si>
  <si>
    <r>
      <t xml:space="preserve">                               Приложение № 2</t>
    </r>
    <r>
      <rPr>
        <sz val="12"/>
        <rFont val="Times New Roman"/>
        <family val="1"/>
      </rPr>
      <t xml:space="preserve"> к Смете</t>
    </r>
  </si>
  <si>
    <t>Премиальный фонд</t>
  </si>
  <si>
    <t>Заработная плата 
(председатель, управляющий, бухгалтер, сантехник, электрик)</t>
  </si>
  <si>
    <t>Заработная плата 
(дворник, уборщица)</t>
  </si>
  <si>
    <t>Электроснабжающая организация согласно договора</t>
  </si>
  <si>
    <t>Водоснабжающая организация согласно договора</t>
  </si>
  <si>
    <t>Теплоснабжающая организация согласно договора</t>
  </si>
  <si>
    <t>Обслуживающая организация согласно договора</t>
  </si>
  <si>
    <t>Патрушева,Три медведя</t>
  </si>
  <si>
    <t>ТСЖ "Лыткина, 12/2" на 2012 год</t>
  </si>
  <si>
    <t>Жилина Е.Н.</t>
  </si>
  <si>
    <t xml:space="preserve">Смета ТСЖ «Лыткина 12/2» на 2013 год </t>
  </si>
  <si>
    <t>ТСЖ "Лыткина, 12/2" на 2013 год</t>
  </si>
  <si>
    <t>Расшифровка расходов(руб.коп)</t>
  </si>
  <si>
    <t>2. Расчет стоимости 1 кв. метра на содержание общего имущества(руб.коп)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</si>
</sst>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\х\ #,##0&quot; дома &quot;"/>
    <numFmt numFmtId="169" formatCode="\х\ #,##0&quot; мес. &quot;"/>
    <numFmt numFmtId="170" formatCode="0.0"/>
    <numFmt numFmtId="171" formatCode="\=#,##0.00&quot;р.&quot;"/>
  </numFmts>
  <fonts count="54">
    <font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u val="single"/>
      <sz val="10"/>
      <name val="Arial Cyr"/>
      <family val="0"/>
    </font>
    <font>
      <sz val="10"/>
      <name val="Arial CYR"/>
      <family val="2"/>
    </font>
    <font>
      <u val="single"/>
      <sz val="10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3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7" fontId="3" fillId="0" borderId="13" xfId="0" applyNumberFormat="1" applyFont="1" applyBorder="1" applyAlignment="1">
      <alignment horizontal="right" vertical="center" wrapText="1"/>
    </xf>
    <xf numFmtId="167" fontId="3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4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2" fontId="13" fillId="0" borderId="12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13" fillId="0" borderId="18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4" fontId="13" fillId="0" borderId="21" xfId="0" applyNumberFormat="1" applyFont="1" applyBorder="1" applyAlignment="1">
      <alignment vertical="center"/>
    </xf>
    <xf numFmtId="44" fontId="13" fillId="0" borderId="13" xfId="0" applyNumberFormat="1" applyFont="1" applyBorder="1" applyAlignment="1">
      <alignment vertical="center"/>
    </xf>
    <xf numFmtId="2" fontId="15" fillId="0" borderId="22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169" fontId="3" fillId="0" borderId="11" xfId="0" applyNumberFormat="1" applyFont="1" applyBorder="1" applyAlignment="1">
      <alignment horizontal="right" vertical="center" wrapText="1"/>
    </xf>
    <xf numFmtId="2" fontId="13" fillId="0" borderId="22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23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2" fontId="13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14" fillId="0" borderId="12" xfId="0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0" fontId="16" fillId="0" borderId="12" xfId="0" applyFont="1" applyBorder="1" applyAlignment="1">
      <alignment/>
    </xf>
    <xf numFmtId="2" fontId="14" fillId="0" borderId="12" xfId="0" applyNumberFormat="1" applyFont="1" applyBorder="1" applyAlignment="1">
      <alignment/>
    </xf>
    <xf numFmtId="0" fontId="17" fillId="0" borderId="0" xfId="0" applyFont="1" applyAlignment="1">
      <alignment vertical="top"/>
    </xf>
    <xf numFmtId="0" fontId="13" fillId="0" borderId="13" xfId="0" applyFont="1" applyBorder="1" applyAlignment="1">
      <alignment horizontal="left" vertical="center" wrapText="1" indent="1"/>
    </xf>
    <xf numFmtId="2" fontId="13" fillId="0" borderId="22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4" fontId="1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1" fontId="4" fillId="0" borderId="11" xfId="0" applyNumberFormat="1" applyFont="1" applyBorder="1" applyAlignment="1">
      <alignment horizontal="right" vertical="center"/>
    </xf>
    <xf numFmtId="171" fontId="4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3" fillId="0" borderId="3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2" fontId="13" fillId="0" borderId="38" xfId="0" applyNumberFormat="1" applyFont="1" applyBorder="1" applyAlignment="1">
      <alignment horizontal="right" vertical="center"/>
    </xf>
    <xf numFmtId="2" fontId="13" fillId="0" borderId="39" xfId="0" applyNumberFormat="1" applyFont="1" applyBorder="1" applyAlignment="1">
      <alignment horizontal="right" vertical="center"/>
    </xf>
    <xf numFmtId="2" fontId="13" fillId="0" borderId="4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5" fillId="0" borderId="41" xfId="0" applyFont="1" applyBorder="1" applyAlignment="1">
      <alignment horizontal="left" vertical="center" indent="1"/>
    </xf>
    <xf numFmtId="0" fontId="15" fillId="0" borderId="42" xfId="0" applyFont="1" applyBorder="1" applyAlignment="1">
      <alignment horizontal="left" vertical="center" indent="1"/>
    </xf>
    <xf numFmtId="0" fontId="15" fillId="0" borderId="43" xfId="0" applyFont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Normal="75" zoomScaleSheetLayoutView="100" zoomScalePageLayoutView="0" workbookViewId="0" topLeftCell="A31">
      <selection activeCell="H23" sqref="H23:I23"/>
    </sheetView>
  </sheetViews>
  <sheetFormatPr defaultColWidth="9.00390625" defaultRowHeight="12.75"/>
  <cols>
    <col min="1" max="1" width="4.375" style="0" customWidth="1"/>
    <col min="4" max="4" width="5.25390625" style="0" customWidth="1"/>
    <col min="5" max="5" width="6.75390625" style="0" customWidth="1"/>
    <col min="6" max="6" width="15.25390625" style="0" customWidth="1"/>
    <col min="7" max="7" width="12.00390625" style="0" customWidth="1"/>
    <col min="8" max="8" width="7.875" style="0" customWidth="1"/>
    <col min="9" max="9" width="11.125" style="0" customWidth="1"/>
    <col min="10" max="10" width="6.125" style="0" customWidth="1"/>
    <col min="11" max="11" width="7.375" style="0" customWidth="1"/>
    <col min="12" max="12" width="3.25390625" style="0" customWidth="1"/>
    <col min="14" max="14" width="9.25390625" style="0" customWidth="1"/>
    <col min="15" max="15" width="7.375" style="0" customWidth="1"/>
  </cols>
  <sheetData>
    <row r="1" spans="2:10" s="16" customFormat="1" ht="18.75">
      <c r="B1" s="17"/>
      <c r="C1" s="17"/>
      <c r="D1" s="17"/>
      <c r="E1" s="17"/>
      <c r="F1" s="17"/>
      <c r="G1" s="17"/>
      <c r="H1" s="17"/>
      <c r="J1" s="8" t="s">
        <v>25</v>
      </c>
    </row>
    <row r="2" s="16" customFormat="1" ht="18.75">
      <c r="J2" s="8" t="s">
        <v>0</v>
      </c>
    </row>
    <row r="3" spans="10:15" s="16" customFormat="1" ht="18.75">
      <c r="J3" s="8" t="s">
        <v>69</v>
      </c>
      <c r="O3" s="16">
        <v>2013</v>
      </c>
    </row>
    <row r="4" ht="20.25" customHeight="1">
      <c r="A4" s="2"/>
    </row>
    <row r="5" spans="1:15" ht="45.75" customHeight="1">
      <c r="A5" s="146" t="s">
        <v>84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s="5" customFormat="1" ht="29.25" customHeight="1">
      <c r="A6" s="6" t="s">
        <v>1</v>
      </c>
      <c r="B6" s="142" t="s">
        <v>2</v>
      </c>
      <c r="C6" s="142"/>
      <c r="D6" s="142"/>
      <c r="E6" s="142"/>
      <c r="F6" s="143" t="s">
        <v>4</v>
      </c>
      <c r="G6" s="144"/>
      <c r="H6" s="144"/>
      <c r="I6" s="145"/>
      <c r="J6" s="143" t="s">
        <v>3</v>
      </c>
      <c r="K6" s="144"/>
      <c r="L6" s="145"/>
      <c r="M6" s="142" t="s">
        <v>8</v>
      </c>
      <c r="N6" s="142"/>
      <c r="O6" s="142"/>
    </row>
    <row r="7" spans="1:15" s="5" customFormat="1" ht="24.75" customHeight="1">
      <c r="A7" s="107">
        <v>1</v>
      </c>
      <c r="B7" s="121" t="s">
        <v>28</v>
      </c>
      <c r="C7" s="122"/>
      <c r="D7" s="122"/>
      <c r="E7" s="123"/>
      <c r="F7" s="115" t="s">
        <v>63</v>
      </c>
      <c r="G7" s="116"/>
      <c r="H7" s="116"/>
      <c r="I7" s="117"/>
      <c r="J7" s="109" t="s">
        <v>5</v>
      </c>
      <c r="K7" s="110"/>
      <c r="L7" s="111"/>
      <c r="M7" s="126" t="s">
        <v>77</v>
      </c>
      <c r="N7" s="127"/>
      <c r="O7" s="128"/>
    </row>
    <row r="8" spans="1:15" s="5" customFormat="1" ht="24.75" customHeight="1">
      <c r="A8" s="108"/>
      <c r="B8" s="121" t="s">
        <v>34</v>
      </c>
      <c r="C8" s="122"/>
      <c r="D8" s="122"/>
      <c r="E8" s="123"/>
      <c r="F8" s="118"/>
      <c r="G8" s="119"/>
      <c r="H8" s="119"/>
      <c r="I8" s="120"/>
      <c r="J8" s="112"/>
      <c r="K8" s="113"/>
      <c r="L8" s="114"/>
      <c r="M8" s="129"/>
      <c r="N8" s="130"/>
      <c r="O8" s="131"/>
    </row>
    <row r="9" spans="1:15" s="5" customFormat="1" ht="22.5" customHeight="1">
      <c r="A9" s="107">
        <v>2</v>
      </c>
      <c r="B9" s="138" t="s">
        <v>13</v>
      </c>
      <c r="C9" s="138"/>
      <c r="D9" s="138"/>
      <c r="E9" s="138"/>
      <c r="F9" s="115" t="str">
        <f aca="true" t="shared" si="0" ref="F9:F14">$F$7</f>
        <v>Согласно условиям Договора и размеров обязательных платежей и взносов от домовладельцев жилых домов по ул.Лыткина 12/2 и ул.Лыткина 14/1</v>
      </c>
      <c r="G9" s="116"/>
      <c r="H9" s="116"/>
      <c r="I9" s="117"/>
      <c r="J9" s="109" t="s">
        <v>5</v>
      </c>
      <c r="K9" s="110"/>
      <c r="L9" s="111"/>
      <c r="M9" s="126" t="s">
        <v>78</v>
      </c>
      <c r="N9" s="127"/>
      <c r="O9" s="128"/>
    </row>
    <row r="10" spans="1:15" ht="30.75" customHeight="1">
      <c r="A10" s="108"/>
      <c r="B10" s="138" t="s">
        <v>14</v>
      </c>
      <c r="C10" s="138"/>
      <c r="D10" s="138"/>
      <c r="E10" s="138"/>
      <c r="F10" s="118"/>
      <c r="G10" s="119"/>
      <c r="H10" s="119"/>
      <c r="I10" s="120"/>
      <c r="J10" s="112"/>
      <c r="K10" s="113"/>
      <c r="L10" s="114"/>
      <c r="M10" s="129"/>
      <c r="N10" s="130"/>
      <c r="O10" s="131"/>
    </row>
    <row r="11" spans="1:15" s="5" customFormat="1" ht="25.5" customHeight="1">
      <c r="A11" s="107">
        <v>3</v>
      </c>
      <c r="B11" s="121" t="s">
        <v>12</v>
      </c>
      <c r="C11" s="122"/>
      <c r="D11" s="122"/>
      <c r="E11" s="123"/>
      <c r="F11" s="115" t="str">
        <f t="shared" si="0"/>
        <v>Согласно условиям Договора и размеров обязательных платежей и взносов от домовладельцев жилых домов по ул.Лыткина 12/2 и ул.Лыткина 14/1</v>
      </c>
      <c r="G11" s="116"/>
      <c r="H11" s="116"/>
      <c r="I11" s="117"/>
      <c r="J11" s="109" t="s">
        <v>5</v>
      </c>
      <c r="K11" s="110"/>
      <c r="L11" s="111"/>
      <c r="M11" s="126" t="s">
        <v>79</v>
      </c>
      <c r="N11" s="127"/>
      <c r="O11" s="128"/>
    </row>
    <row r="12" spans="1:15" s="5" customFormat="1" ht="32.25" customHeight="1">
      <c r="A12" s="108"/>
      <c r="B12" s="121" t="s">
        <v>27</v>
      </c>
      <c r="C12" s="122"/>
      <c r="D12" s="122"/>
      <c r="E12" s="123"/>
      <c r="F12" s="118"/>
      <c r="G12" s="119"/>
      <c r="H12" s="119"/>
      <c r="I12" s="120"/>
      <c r="J12" s="112"/>
      <c r="K12" s="113"/>
      <c r="L12" s="114"/>
      <c r="M12" s="129"/>
      <c r="N12" s="130"/>
      <c r="O12" s="131"/>
    </row>
    <row r="13" spans="1:15" ht="43.5" customHeight="1">
      <c r="A13" s="27">
        <v>4</v>
      </c>
      <c r="B13" s="138" t="s">
        <v>15</v>
      </c>
      <c r="C13" s="138"/>
      <c r="D13" s="138"/>
      <c r="E13" s="138"/>
      <c r="F13" s="124" t="str">
        <f t="shared" si="0"/>
        <v>Согласно условиям Договора и размеров обязательных платежей и взносов от домовладельцев жилых домов по ул.Лыткина 12/2 и ул.Лыткина 14/1</v>
      </c>
      <c r="G13" s="124"/>
      <c r="H13" s="124"/>
      <c r="I13" s="124"/>
      <c r="J13" s="132" t="str">
        <f>J7</f>
        <v>Собственники</v>
      </c>
      <c r="K13" s="133"/>
      <c r="L13" s="134"/>
      <c r="M13" s="148" t="s">
        <v>80</v>
      </c>
      <c r="N13" s="148"/>
      <c r="O13" s="148"/>
    </row>
    <row r="14" spans="1:15" ht="39.75" customHeight="1">
      <c r="A14" s="43">
        <v>5</v>
      </c>
      <c r="B14" s="138" t="s">
        <v>16</v>
      </c>
      <c r="C14" s="138"/>
      <c r="D14" s="138"/>
      <c r="E14" s="138"/>
      <c r="F14" s="124" t="str">
        <f t="shared" si="0"/>
        <v>Согласно условиям Договора и размеров обязательных платежей и взносов от домовладельцев жилых домов по ул.Лыткина 12/2 и ул.Лыткина 14/1</v>
      </c>
      <c r="G14" s="124"/>
      <c r="H14" s="124"/>
      <c r="I14" s="124"/>
      <c r="J14" s="132" t="str">
        <f>$J$17</f>
        <v>Собственники жилого фонда</v>
      </c>
      <c r="K14" s="133"/>
      <c r="L14" s="134"/>
      <c r="M14" s="148" t="s">
        <v>80</v>
      </c>
      <c r="N14" s="148"/>
      <c r="O14" s="148"/>
    </row>
    <row r="15" spans="1:15" ht="36.75" customHeight="1">
      <c r="A15" s="21">
        <v>6</v>
      </c>
      <c r="B15" s="137" t="s">
        <v>17</v>
      </c>
      <c r="C15" s="137"/>
      <c r="D15" s="137"/>
      <c r="E15" s="137"/>
      <c r="F15" s="34">
        <v>40000</v>
      </c>
      <c r="G15" s="73">
        <v>2</v>
      </c>
      <c r="H15" s="135">
        <f aca="true" t="shared" si="1" ref="H15:H25">G15*F15</f>
        <v>80000</v>
      </c>
      <c r="I15" s="136"/>
      <c r="J15" s="125" t="str">
        <f>$J$7</f>
        <v>Собственники</v>
      </c>
      <c r="K15" s="125"/>
      <c r="L15" s="125"/>
      <c r="M15" s="108" t="s">
        <v>10</v>
      </c>
      <c r="N15" s="108"/>
      <c r="O15" s="108"/>
    </row>
    <row r="16" spans="1:15" ht="24.75" customHeight="1">
      <c r="A16" s="107">
        <v>7</v>
      </c>
      <c r="B16" s="149" t="s">
        <v>18</v>
      </c>
      <c r="C16" s="150"/>
      <c r="D16" s="150"/>
      <c r="E16" s="151"/>
      <c r="F16" s="35">
        <v>9000</v>
      </c>
      <c r="G16" s="73">
        <v>2</v>
      </c>
      <c r="H16" s="135">
        <f t="shared" si="1"/>
        <v>18000</v>
      </c>
      <c r="I16" s="136"/>
      <c r="J16" s="125" t="str">
        <f>$J$7</f>
        <v>Собственники</v>
      </c>
      <c r="K16" s="125"/>
      <c r="L16" s="125"/>
      <c r="M16" s="109" t="s">
        <v>11</v>
      </c>
      <c r="N16" s="110"/>
      <c r="O16" s="111"/>
    </row>
    <row r="17" spans="1:15" ht="30" customHeight="1">
      <c r="A17" s="108"/>
      <c r="B17" s="152"/>
      <c r="C17" s="153"/>
      <c r="D17" s="153"/>
      <c r="E17" s="154"/>
      <c r="F17" s="35">
        <v>1000</v>
      </c>
      <c r="G17" s="73">
        <v>2</v>
      </c>
      <c r="H17" s="135">
        <f t="shared" si="1"/>
        <v>2000</v>
      </c>
      <c r="I17" s="136"/>
      <c r="J17" s="125" t="s">
        <v>6</v>
      </c>
      <c r="K17" s="125"/>
      <c r="L17" s="125"/>
      <c r="M17" s="112"/>
      <c r="N17" s="113"/>
      <c r="O17" s="114"/>
    </row>
    <row r="18" spans="1:16" ht="34.5" customHeight="1">
      <c r="A18" s="21">
        <v>8</v>
      </c>
      <c r="B18" s="137" t="s">
        <v>19</v>
      </c>
      <c r="C18" s="137"/>
      <c r="D18" s="137"/>
      <c r="E18" s="137"/>
      <c r="F18" s="35">
        <v>5000</v>
      </c>
      <c r="G18" s="73">
        <v>2</v>
      </c>
      <c r="H18" s="135">
        <f t="shared" si="1"/>
        <v>10000</v>
      </c>
      <c r="I18" s="136"/>
      <c r="J18" s="125" t="str">
        <f aca="true" t="shared" si="2" ref="J18:J23">$J$7</f>
        <v>Собственники</v>
      </c>
      <c r="K18" s="125"/>
      <c r="L18" s="125"/>
      <c r="M18" s="125" t="s">
        <v>11</v>
      </c>
      <c r="N18" s="125"/>
      <c r="O18" s="125"/>
      <c r="P18" s="3"/>
    </row>
    <row r="19" spans="1:15" ht="39.75" customHeight="1">
      <c r="A19" s="27">
        <v>9</v>
      </c>
      <c r="B19" s="137" t="s">
        <v>58</v>
      </c>
      <c r="C19" s="137"/>
      <c r="D19" s="137"/>
      <c r="E19" s="137"/>
      <c r="F19" s="35">
        <v>9000</v>
      </c>
      <c r="G19" s="73">
        <v>2</v>
      </c>
      <c r="H19" s="135">
        <f t="shared" si="1"/>
        <v>18000</v>
      </c>
      <c r="I19" s="136"/>
      <c r="J19" s="125" t="str">
        <f t="shared" si="2"/>
        <v>Собственники</v>
      </c>
      <c r="K19" s="125"/>
      <c r="L19" s="125"/>
      <c r="M19" s="125" t="s">
        <v>9</v>
      </c>
      <c r="N19" s="125"/>
      <c r="O19" s="125"/>
    </row>
    <row r="20" spans="1:15" ht="24.75" customHeight="1">
      <c r="A20" s="27">
        <v>10</v>
      </c>
      <c r="B20" s="137" t="s">
        <v>7</v>
      </c>
      <c r="C20" s="137"/>
      <c r="D20" s="137"/>
      <c r="E20" s="137"/>
      <c r="F20" s="35">
        <v>12500</v>
      </c>
      <c r="G20" s="73">
        <v>2</v>
      </c>
      <c r="H20" s="135">
        <f t="shared" si="1"/>
        <v>25000</v>
      </c>
      <c r="I20" s="136"/>
      <c r="J20" s="125" t="str">
        <f t="shared" si="2"/>
        <v>Собственники</v>
      </c>
      <c r="K20" s="125"/>
      <c r="L20" s="125"/>
      <c r="M20" s="125" t="s">
        <v>10</v>
      </c>
      <c r="N20" s="125"/>
      <c r="O20" s="125"/>
    </row>
    <row r="21" spans="1:15" ht="31.5" customHeight="1">
      <c r="A21" s="21">
        <v>11</v>
      </c>
      <c r="B21" s="139" t="s">
        <v>35</v>
      </c>
      <c r="C21" s="140"/>
      <c r="D21" s="140"/>
      <c r="E21" s="141"/>
      <c r="F21" s="34">
        <v>25000</v>
      </c>
      <c r="G21" s="73"/>
      <c r="H21" s="135">
        <f>25000</f>
        <v>25000</v>
      </c>
      <c r="I21" s="136"/>
      <c r="J21" s="125" t="str">
        <f t="shared" si="2"/>
        <v>Собственники</v>
      </c>
      <c r="K21" s="125"/>
      <c r="L21" s="125"/>
      <c r="M21" s="132" t="s">
        <v>36</v>
      </c>
      <c r="N21" s="133"/>
      <c r="O21" s="134"/>
    </row>
    <row r="22" spans="1:15" ht="31.5" customHeight="1">
      <c r="A22" s="21">
        <v>12</v>
      </c>
      <c r="B22" s="137" t="s">
        <v>52</v>
      </c>
      <c r="C22" s="137"/>
      <c r="D22" s="137"/>
      <c r="E22" s="137"/>
      <c r="F22" s="35">
        <v>650</v>
      </c>
      <c r="G22" s="74">
        <v>12</v>
      </c>
      <c r="H22" s="135">
        <f t="shared" si="1"/>
        <v>7800</v>
      </c>
      <c r="I22" s="136"/>
      <c r="J22" s="125" t="str">
        <f t="shared" si="2"/>
        <v>Собственники</v>
      </c>
      <c r="K22" s="125"/>
      <c r="L22" s="125"/>
      <c r="M22" s="125" t="s">
        <v>53</v>
      </c>
      <c r="N22" s="125"/>
      <c r="O22" s="125"/>
    </row>
    <row r="23" spans="1:15" ht="74.25" customHeight="1">
      <c r="A23" s="107">
        <v>13</v>
      </c>
      <c r="B23" s="139" t="s">
        <v>75</v>
      </c>
      <c r="C23" s="140"/>
      <c r="D23" s="140"/>
      <c r="E23" s="141"/>
      <c r="F23" s="34"/>
      <c r="G23" s="73"/>
      <c r="H23" s="135">
        <f>Расшифровка!H14</f>
        <v>341586.20689655177</v>
      </c>
      <c r="I23" s="136"/>
      <c r="J23" s="125" t="str">
        <f t="shared" si="2"/>
        <v>Собственники</v>
      </c>
      <c r="K23" s="125"/>
      <c r="L23" s="125"/>
      <c r="M23" s="109" t="s">
        <v>20</v>
      </c>
      <c r="N23" s="110"/>
      <c r="O23" s="111"/>
    </row>
    <row r="24" spans="1:15" ht="42.75" customHeight="1">
      <c r="A24" s="108"/>
      <c r="B24" s="137" t="s">
        <v>76</v>
      </c>
      <c r="C24" s="137"/>
      <c r="D24" s="137"/>
      <c r="E24" s="137"/>
      <c r="F24" s="35"/>
      <c r="G24" s="74"/>
      <c r="H24" s="135">
        <f>Расшифровка!H18</f>
        <v>157503.4482758621</v>
      </c>
      <c r="I24" s="136"/>
      <c r="J24" s="132" t="str">
        <f>$J$17</f>
        <v>Собственники жилого фонда</v>
      </c>
      <c r="K24" s="133"/>
      <c r="L24" s="134"/>
      <c r="M24" s="112"/>
      <c r="N24" s="113"/>
      <c r="O24" s="114"/>
    </row>
    <row r="25" spans="1:15" ht="31.5" customHeight="1">
      <c r="A25" s="21">
        <v>14</v>
      </c>
      <c r="B25" s="139" t="s">
        <v>61</v>
      </c>
      <c r="C25" s="140"/>
      <c r="D25" s="140"/>
      <c r="E25" s="141"/>
      <c r="F25" s="35">
        <v>14000</v>
      </c>
      <c r="G25" s="73">
        <v>2</v>
      </c>
      <c r="H25" s="135">
        <f t="shared" si="1"/>
        <v>28000</v>
      </c>
      <c r="I25" s="136"/>
      <c r="J25" s="132" t="str">
        <f>$J$17</f>
        <v>Собственники жилого фонда</v>
      </c>
      <c r="K25" s="133"/>
      <c r="L25" s="134"/>
      <c r="M25" s="132" t="s">
        <v>10</v>
      </c>
      <c r="N25" s="133"/>
      <c r="O25" s="134"/>
    </row>
    <row r="26" spans="1:15" ht="24.75" customHeight="1">
      <c r="A26" s="71"/>
      <c r="B26" s="72"/>
      <c r="C26" s="72"/>
      <c r="D26" s="72"/>
      <c r="E26" s="72"/>
      <c r="F26" s="34"/>
      <c r="G26" s="14"/>
      <c r="H26" s="135">
        <f>SUM(H15:H25)</f>
        <v>712889.6551724139</v>
      </c>
      <c r="I26" s="136"/>
      <c r="J26" s="71"/>
      <c r="K26" s="71"/>
      <c r="L26" s="71"/>
      <c r="M26" s="71"/>
      <c r="N26" s="71"/>
      <c r="O26" s="71"/>
    </row>
    <row r="27" spans="1:16" ht="19.5" customHeight="1">
      <c r="A27" s="55"/>
      <c r="C27" s="56" t="s">
        <v>39</v>
      </c>
      <c r="D27" s="48"/>
      <c r="E27" s="48"/>
      <c r="F27" s="11"/>
      <c r="G27" s="51"/>
      <c r="H27" s="51"/>
      <c r="I27" s="51"/>
      <c r="J27" s="51"/>
      <c r="K27" t="s">
        <v>40</v>
      </c>
      <c r="L27" s="46"/>
      <c r="O27" s="46"/>
      <c r="P27" s="1"/>
    </row>
    <row r="28" spans="1:15" s="1" customFormat="1" ht="15.75">
      <c r="A28" s="55"/>
      <c r="C28" s="56"/>
      <c r="D28" s="48"/>
      <c r="E28" s="48"/>
      <c r="F28" s="18"/>
      <c r="G28" s="48"/>
      <c r="H28" s="48"/>
      <c r="I28" s="48"/>
      <c r="J28" s="46"/>
      <c r="K28"/>
      <c r="L28" s="46"/>
      <c r="O28" s="46"/>
    </row>
    <row r="29" spans="1:15" s="1" customFormat="1" ht="19.5" customHeight="1">
      <c r="A29" s="55"/>
      <c r="C29" s="56" t="s">
        <v>41</v>
      </c>
      <c r="D29" s="48"/>
      <c r="E29" s="48"/>
      <c r="F29" s="18"/>
      <c r="G29" s="47"/>
      <c r="H29" s="47"/>
      <c r="I29" s="47"/>
      <c r="J29" s="47"/>
      <c r="K29" t="s">
        <v>83</v>
      </c>
      <c r="L29" s="46"/>
      <c r="O29" s="46"/>
    </row>
    <row r="30" spans="1:16" s="1" customFormat="1" ht="15.75">
      <c r="A30" s="55"/>
      <c r="C30" s="56"/>
      <c r="D30" s="11"/>
      <c r="E30" s="11"/>
      <c r="F30" s="18"/>
      <c r="G30"/>
      <c r="H30"/>
      <c r="J30" s="11"/>
      <c r="K30"/>
      <c r="L30" s="11"/>
      <c r="M30" s="11"/>
      <c r="N30"/>
      <c r="O30"/>
      <c r="P30"/>
    </row>
    <row r="31" spans="1:13" ht="12.75">
      <c r="A31" s="55"/>
      <c r="C31" s="56" t="s">
        <v>42</v>
      </c>
      <c r="D31" s="48"/>
      <c r="E31" s="48"/>
      <c r="F31" s="11"/>
      <c r="G31" s="47"/>
      <c r="H31" s="47"/>
      <c r="I31" s="47"/>
      <c r="J31" s="47"/>
      <c r="K31" t="s">
        <v>43</v>
      </c>
      <c r="L31" s="11"/>
      <c r="M31" s="11"/>
    </row>
    <row r="47" spans="1:7" ht="15.75">
      <c r="A47" s="9"/>
      <c r="B47" s="22"/>
      <c r="C47" s="13"/>
      <c r="D47" s="23"/>
      <c r="E47" s="10"/>
      <c r="F47" s="22"/>
      <c r="G47" s="11"/>
    </row>
    <row r="48" spans="1:7" ht="15.75">
      <c r="A48" s="9"/>
      <c r="B48" s="22"/>
      <c r="C48" s="13"/>
      <c r="D48" s="24"/>
      <c r="E48" s="26"/>
      <c r="F48" s="22"/>
      <c r="G48" s="11"/>
    </row>
    <row r="49" spans="1:7" ht="15.75">
      <c r="A49" s="9"/>
      <c r="B49" s="22"/>
      <c r="C49" s="13"/>
      <c r="D49" s="10"/>
      <c r="E49" s="12"/>
      <c r="F49" s="22"/>
      <c r="G49" s="11"/>
    </row>
    <row r="50" spans="1:7" ht="15.75">
      <c r="A50" s="9"/>
      <c r="B50" s="22"/>
      <c r="C50" s="22"/>
      <c r="D50" s="24"/>
      <c r="E50" s="10"/>
      <c r="F50" s="22"/>
      <c r="G50" s="11"/>
    </row>
    <row r="51" spans="1:7" ht="15.75">
      <c r="A51" s="9"/>
      <c r="B51" s="22"/>
      <c r="C51" s="22"/>
      <c r="D51" s="13"/>
      <c r="E51" s="26"/>
      <c r="F51" s="22"/>
      <c r="G51" s="11"/>
    </row>
    <row r="52" spans="1:7" ht="15.75">
      <c r="A52" s="18"/>
      <c r="B52" s="11"/>
      <c r="C52" s="11"/>
      <c r="D52" s="22"/>
      <c r="E52" s="12"/>
      <c r="F52" s="11"/>
      <c r="G52" s="11"/>
    </row>
    <row r="53" ht="12.75">
      <c r="D53" s="7"/>
    </row>
  </sheetData>
  <sheetProtection/>
  <mergeCells count="75">
    <mergeCell ref="A16:A17"/>
    <mergeCell ref="B16:E17"/>
    <mergeCell ref="H21:I21"/>
    <mergeCell ref="M20:O20"/>
    <mergeCell ref="J20:L20"/>
    <mergeCell ref="J21:L21"/>
    <mergeCell ref="M21:O21"/>
    <mergeCell ref="M16:O17"/>
    <mergeCell ref="B19:E19"/>
    <mergeCell ref="B8:E8"/>
    <mergeCell ref="A5:O5"/>
    <mergeCell ref="M6:O6"/>
    <mergeCell ref="B10:E10"/>
    <mergeCell ref="M23:O24"/>
    <mergeCell ref="A7:A8"/>
    <mergeCell ref="M13:O13"/>
    <mergeCell ref="M15:O15"/>
    <mergeCell ref="M14:O14"/>
    <mergeCell ref="B9:E9"/>
    <mergeCell ref="B25:E25"/>
    <mergeCell ref="B24:E24"/>
    <mergeCell ref="H25:I25"/>
    <mergeCell ref="H24:I24"/>
    <mergeCell ref="B6:E6"/>
    <mergeCell ref="J6:L6"/>
    <mergeCell ref="F6:I6"/>
    <mergeCell ref="B7:E7"/>
    <mergeCell ref="F7:I8"/>
    <mergeCell ref="J7:L8"/>
    <mergeCell ref="B23:E23"/>
    <mergeCell ref="H22:I22"/>
    <mergeCell ref="H19:I19"/>
    <mergeCell ref="H20:I20"/>
    <mergeCell ref="B14:E14"/>
    <mergeCell ref="B15:E15"/>
    <mergeCell ref="B22:E22"/>
    <mergeCell ref="B21:E21"/>
    <mergeCell ref="B20:E20"/>
    <mergeCell ref="M19:O19"/>
    <mergeCell ref="H15:I15"/>
    <mergeCell ref="H18:I18"/>
    <mergeCell ref="B13:E13"/>
    <mergeCell ref="F13:I13"/>
    <mergeCell ref="B18:E18"/>
    <mergeCell ref="H16:I16"/>
    <mergeCell ref="H17:I17"/>
    <mergeCell ref="H26:I26"/>
    <mergeCell ref="J25:L25"/>
    <mergeCell ref="J24:L24"/>
    <mergeCell ref="M25:O25"/>
    <mergeCell ref="B11:E11"/>
    <mergeCell ref="J22:L22"/>
    <mergeCell ref="M22:O22"/>
    <mergeCell ref="J19:L19"/>
    <mergeCell ref="M18:O18"/>
    <mergeCell ref="M7:O8"/>
    <mergeCell ref="M11:O12"/>
    <mergeCell ref="M9:O10"/>
    <mergeCell ref="J13:L13"/>
    <mergeCell ref="J23:L23"/>
    <mergeCell ref="H23:I23"/>
    <mergeCell ref="J16:L16"/>
    <mergeCell ref="J14:L14"/>
    <mergeCell ref="J15:L15"/>
    <mergeCell ref="J18:L18"/>
    <mergeCell ref="A9:A10"/>
    <mergeCell ref="J9:L10"/>
    <mergeCell ref="J11:L12"/>
    <mergeCell ref="A23:A24"/>
    <mergeCell ref="F9:I10"/>
    <mergeCell ref="A11:A12"/>
    <mergeCell ref="F11:I12"/>
    <mergeCell ref="B12:E12"/>
    <mergeCell ref="F14:I14"/>
    <mergeCell ref="J17:L17"/>
  </mergeCells>
  <printOptions/>
  <pageMargins left="0.2362204724409449" right="0.2755905511811024" top="0.2362204724409449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zoomScalePageLayoutView="0" workbookViewId="0" topLeftCell="A1">
      <selection activeCell="A6" sqref="A6:H6"/>
    </sheetView>
  </sheetViews>
  <sheetFormatPr defaultColWidth="9.00390625" defaultRowHeight="12.75"/>
  <cols>
    <col min="1" max="1" width="28.625" style="0" customWidth="1"/>
    <col min="2" max="2" width="12.875" style="0" customWidth="1"/>
    <col min="3" max="4" width="14.25390625" style="0" customWidth="1"/>
    <col min="5" max="5" width="14.125" style="0" customWidth="1"/>
    <col min="6" max="6" width="13.625" style="0" customWidth="1"/>
    <col min="7" max="7" width="14.125" style="0" customWidth="1"/>
    <col min="8" max="8" width="14.75390625" style="0" customWidth="1"/>
    <col min="9" max="9" width="4.375" style="0" customWidth="1"/>
    <col min="10" max="10" width="13.00390625" style="0" customWidth="1"/>
  </cols>
  <sheetData>
    <row r="1" spans="6:13" ht="20.25" customHeight="1">
      <c r="F1" s="102" t="s">
        <v>29</v>
      </c>
      <c r="G1" s="29"/>
      <c r="H1" s="29"/>
      <c r="J1" s="29"/>
      <c r="L1" t="s">
        <v>21</v>
      </c>
      <c r="M1">
        <v>0.13</v>
      </c>
    </row>
    <row r="2" spans="6:13" ht="18.75" customHeight="1">
      <c r="F2" s="29" t="s">
        <v>82</v>
      </c>
      <c r="G2" s="29"/>
      <c r="H2" s="29"/>
      <c r="J2" s="29"/>
      <c r="L2" t="s">
        <v>22</v>
      </c>
      <c r="M2">
        <v>0.202</v>
      </c>
    </row>
    <row r="3" spans="9:13" ht="57.75" customHeight="1">
      <c r="I3" s="1"/>
      <c r="J3" s="1"/>
      <c r="K3" s="1"/>
      <c r="L3" s="1"/>
      <c r="M3" s="1"/>
    </row>
    <row r="4" spans="1:13" ht="18.75">
      <c r="A4" s="50" t="s">
        <v>33</v>
      </c>
      <c r="B4" s="155" t="s">
        <v>72</v>
      </c>
      <c r="C4" s="155"/>
      <c r="D4" s="155"/>
      <c r="E4" s="155"/>
      <c r="I4" s="1"/>
      <c r="J4" s="1"/>
      <c r="K4" s="1"/>
      <c r="L4" s="1"/>
      <c r="M4" s="1"/>
    </row>
    <row r="5" spans="1:13" s="1" customFormat="1" ht="18" customHeight="1">
      <c r="A5" s="32"/>
      <c r="B5" s="19"/>
      <c r="C5" s="19"/>
      <c r="D5" s="19"/>
      <c r="E5" s="4"/>
      <c r="F5" s="4"/>
      <c r="G5" s="32"/>
      <c r="H5" s="32"/>
      <c r="I5" s="32"/>
      <c r="J5" s="32"/>
      <c r="K5" s="32"/>
      <c r="L5" s="32"/>
      <c r="M5" s="32"/>
    </row>
    <row r="6" spans="1:13" s="1" customFormat="1" ht="25.5" customHeight="1" thickBot="1">
      <c r="A6" s="156" t="s">
        <v>86</v>
      </c>
      <c r="B6" s="157"/>
      <c r="C6" s="157"/>
      <c r="D6" s="157"/>
      <c r="E6" s="157"/>
      <c r="F6" s="157"/>
      <c r="G6" s="157"/>
      <c r="H6" s="158"/>
      <c r="I6" s="32"/>
      <c r="J6" s="32"/>
      <c r="K6" s="32"/>
      <c r="L6" s="32"/>
      <c r="M6" s="32"/>
    </row>
    <row r="7" spans="1:10" s="1" customFormat="1" ht="50.25" customHeight="1" thickBot="1">
      <c r="A7" s="49" t="s">
        <v>37</v>
      </c>
      <c r="B7" s="98" t="s">
        <v>23</v>
      </c>
      <c r="C7" s="99" t="str">
        <f>" НДФЛ с з/п в месяц
("&amp;100*НДФЛ&amp;" %)"</f>
        <v> НДФЛ с з/п в месяц
(13 %)</v>
      </c>
      <c r="D7" s="99" t="str">
        <f>" НДФЛ с з/п за год
("&amp;100*НДФЛ&amp;" %)"</f>
        <v> НДФЛ с з/п за год
(13 %)</v>
      </c>
      <c r="E7" s="99" t="str">
        <f>"З/п в месяц
с НДФЛ 
("&amp;100*НДФЛ&amp;" %)"</f>
        <v>З/п в месяц
с НДФЛ 
(13 %)</v>
      </c>
      <c r="F7" s="99" t="str">
        <f>"Налоги с з/п
("&amp;100*налог&amp;" %)"</f>
        <v>Налоги с з/п
(20,2 %)</v>
      </c>
      <c r="G7" s="99" t="s">
        <v>24</v>
      </c>
      <c r="H7" s="100" t="s">
        <v>26</v>
      </c>
      <c r="I7" s="15"/>
      <c r="J7" s="33"/>
    </row>
    <row r="8" spans="1:13" ht="30" customHeight="1" thickTop="1">
      <c r="A8" s="44" t="s">
        <v>32</v>
      </c>
      <c r="B8" s="42">
        <v>3000</v>
      </c>
      <c r="C8" s="42">
        <f>E8*НДФЛ</f>
        <v>448.2758620689655</v>
      </c>
      <c r="D8" s="42">
        <f>C8*12</f>
        <v>5379.310344827586</v>
      </c>
      <c r="E8" s="42">
        <f>B8/(1-НДФЛ)</f>
        <v>3448.2758620689656</v>
      </c>
      <c r="F8" s="42">
        <f>E8*налог</f>
        <v>696.551724137931</v>
      </c>
      <c r="G8" s="42">
        <f>E8+F8</f>
        <v>4144.827586206897</v>
      </c>
      <c r="H8" s="42">
        <f>G8*12</f>
        <v>49737.93103448276</v>
      </c>
      <c r="I8" s="30"/>
      <c r="J8" s="30"/>
      <c r="K8" s="1"/>
      <c r="L8" s="1"/>
      <c r="M8" s="1"/>
    </row>
    <row r="9" spans="1:13" ht="30" customHeight="1">
      <c r="A9" s="45" t="s">
        <v>30</v>
      </c>
      <c r="B9" s="39">
        <v>6000</v>
      </c>
      <c r="C9" s="39">
        <f>E9*НДФЛ</f>
        <v>896.551724137931</v>
      </c>
      <c r="D9" s="39">
        <f>C9*12</f>
        <v>10758.620689655172</v>
      </c>
      <c r="E9" s="40">
        <f>B9/(1-НДФЛ)</f>
        <v>6896.551724137931</v>
      </c>
      <c r="F9" s="39">
        <f>E9*налог</f>
        <v>1393.103448275862</v>
      </c>
      <c r="G9" s="39">
        <f>E9+F9</f>
        <v>8289.655172413793</v>
      </c>
      <c r="H9" s="39">
        <f>G9*12</f>
        <v>99475.86206896552</v>
      </c>
      <c r="I9" s="28"/>
      <c r="J9" s="1"/>
      <c r="K9" s="1"/>
      <c r="L9" s="1"/>
      <c r="M9" s="1"/>
    </row>
    <row r="10" spans="1:10" ht="30" customHeight="1">
      <c r="A10" s="45" t="s">
        <v>31</v>
      </c>
      <c r="B10" s="39">
        <v>6000</v>
      </c>
      <c r="C10" s="39">
        <f>E10*НДФЛ</f>
        <v>896.551724137931</v>
      </c>
      <c r="D10" s="39">
        <f>C10*12</f>
        <v>10758.620689655172</v>
      </c>
      <c r="E10" s="39">
        <f>B10/(1-НДФЛ)</f>
        <v>6896.551724137931</v>
      </c>
      <c r="F10" s="39">
        <f>E10*налог</f>
        <v>1393.103448275862</v>
      </c>
      <c r="G10" s="39">
        <f>E10+F10</f>
        <v>8289.655172413793</v>
      </c>
      <c r="H10" s="39">
        <f>G10*12</f>
        <v>99475.86206896552</v>
      </c>
      <c r="I10" s="30"/>
      <c r="J10" s="1"/>
    </row>
    <row r="11" spans="1:10" ht="36" customHeight="1">
      <c r="A11" s="45" t="s">
        <v>66</v>
      </c>
      <c r="B11" s="41">
        <v>3000</v>
      </c>
      <c r="C11" s="41">
        <f>E11*НДФЛ</f>
        <v>448.2758620689655</v>
      </c>
      <c r="D11" s="41">
        <f>C11*12</f>
        <v>5379.310344827586</v>
      </c>
      <c r="E11" s="41">
        <f>B11/(1-НДФЛ)</f>
        <v>3448.2758620689656</v>
      </c>
      <c r="F11" s="39">
        <f>E11*налог</f>
        <v>696.551724137931</v>
      </c>
      <c r="G11" s="39">
        <f>E11+F11</f>
        <v>4144.827586206897</v>
      </c>
      <c r="H11" s="39">
        <f>G11*12</f>
        <v>49737.93103448276</v>
      </c>
      <c r="I11" s="30"/>
      <c r="J11" s="1"/>
    </row>
    <row r="12" spans="1:10" ht="36" customHeight="1">
      <c r="A12" s="45" t="s">
        <v>67</v>
      </c>
      <c r="B12" s="41">
        <v>2000</v>
      </c>
      <c r="C12" s="41">
        <f>E12*НДФЛ</f>
        <v>298.8505747126437</v>
      </c>
      <c r="D12" s="41">
        <f>C12*12</f>
        <v>3586.2068965517246</v>
      </c>
      <c r="E12" s="41">
        <f>B12/(1-НДФЛ)</f>
        <v>2298.8505747126437</v>
      </c>
      <c r="F12" s="39">
        <f>E12*налог</f>
        <v>464.36781609195407</v>
      </c>
      <c r="G12" s="39">
        <f>E12+F12</f>
        <v>2763.2183908045977</v>
      </c>
      <c r="H12" s="39">
        <f>G12*12</f>
        <v>33158.620689655174</v>
      </c>
      <c r="I12" s="30"/>
      <c r="J12" s="1"/>
    </row>
    <row r="13" spans="1:10" ht="39" customHeight="1" thickBot="1">
      <c r="A13" s="106" t="s">
        <v>74</v>
      </c>
      <c r="B13" s="1"/>
      <c r="C13" s="1"/>
      <c r="D13" s="1"/>
      <c r="E13" s="1"/>
      <c r="F13" s="1"/>
      <c r="G13" s="1"/>
      <c r="H13" s="39">
        <v>10000</v>
      </c>
      <c r="I13" s="30"/>
      <c r="J13" s="1"/>
    </row>
    <row r="14" spans="1:8" ht="20.25" customHeight="1" thickTop="1">
      <c r="A14" s="54" t="s">
        <v>68</v>
      </c>
      <c r="B14" s="101">
        <f aca="true" t="shared" si="0" ref="B14:G14">SUM(B8:B12)</f>
        <v>20000</v>
      </c>
      <c r="C14" s="101">
        <f t="shared" si="0"/>
        <v>2988.5057471264367</v>
      </c>
      <c r="D14" s="101">
        <f t="shared" si="0"/>
        <v>35862.06896551724</v>
      </c>
      <c r="E14" s="101">
        <f t="shared" si="0"/>
        <v>22988.505747126434</v>
      </c>
      <c r="F14" s="101">
        <f t="shared" si="0"/>
        <v>4643.6781609195405</v>
      </c>
      <c r="G14" s="101">
        <f t="shared" si="0"/>
        <v>27632.183908045983</v>
      </c>
      <c r="H14" s="38">
        <f>SUM(H8:H13)</f>
        <v>341586.20689655177</v>
      </c>
    </row>
    <row r="15" spans="1:8" ht="20.25" customHeight="1">
      <c r="A15" s="103"/>
      <c r="B15" s="104"/>
      <c r="C15" s="104"/>
      <c r="D15" s="104"/>
      <c r="E15" s="104"/>
      <c r="F15" s="104"/>
      <c r="G15" s="104"/>
      <c r="H15" s="105"/>
    </row>
    <row r="16" spans="1:8" ht="33" customHeight="1">
      <c r="A16" s="45" t="s">
        <v>70</v>
      </c>
      <c r="B16" s="41">
        <v>5500</v>
      </c>
      <c r="C16" s="39">
        <f>E16*НДФЛ</f>
        <v>821.8390804597701</v>
      </c>
      <c r="D16" s="39">
        <f>C16*12</f>
        <v>9862.068965517241</v>
      </c>
      <c r="E16" s="41">
        <f>B16/(1-НДФЛ)</f>
        <v>6321.83908045977</v>
      </c>
      <c r="F16" s="39">
        <f>E16*налог</f>
        <v>1277.0114942528737</v>
      </c>
      <c r="G16" s="39">
        <f>E16+F16</f>
        <v>7598.850574712644</v>
      </c>
      <c r="H16" s="39">
        <f>G16*12</f>
        <v>91186.20689655172</v>
      </c>
    </row>
    <row r="17" spans="1:8" ht="38.25" customHeight="1" thickBot="1">
      <c r="A17" s="45" t="s">
        <v>71</v>
      </c>
      <c r="B17" s="41">
        <v>4000</v>
      </c>
      <c r="C17" s="41">
        <f>E17*НДФЛ</f>
        <v>597.7011494252874</v>
      </c>
      <c r="D17" s="41">
        <f>C17*12</f>
        <v>7172.413793103449</v>
      </c>
      <c r="E17" s="41">
        <f>B17/(1-НДФЛ)</f>
        <v>4597.701149425287</v>
      </c>
      <c r="F17" s="39">
        <f>E17*налог</f>
        <v>928.7356321839081</v>
      </c>
      <c r="G17" s="39">
        <f>E17+F17</f>
        <v>5526.436781609195</v>
      </c>
      <c r="H17" s="39">
        <f>G17*12</f>
        <v>66317.24137931035</v>
      </c>
    </row>
    <row r="18" spans="1:8" ht="38.25" customHeight="1" thickTop="1">
      <c r="A18" s="54" t="s">
        <v>68</v>
      </c>
      <c r="B18" s="101">
        <f>SUM(B16:B17)</f>
        <v>9500</v>
      </c>
      <c r="C18" s="101">
        <f>SUM(C16:C17)</f>
        <v>1419.5402298850577</v>
      </c>
      <c r="D18" s="101">
        <f>SUM(D16:D17)</f>
        <v>17034.48275862069</v>
      </c>
      <c r="E18" s="101">
        <f>SUM(E16:E17)</f>
        <v>10919.540229885057</v>
      </c>
      <c r="F18" s="101">
        <f>SUM(F16:F17)</f>
        <v>2205.747126436782</v>
      </c>
      <c r="G18" s="101">
        <f>SUM(G12:G17)</f>
        <v>43520.68965517242</v>
      </c>
      <c r="H18" s="38">
        <f>SUM(H16:H17)</f>
        <v>157503.4482758621</v>
      </c>
    </row>
    <row r="19" spans="2:8" ht="15.75">
      <c r="B19" s="31"/>
      <c r="C19" s="31"/>
      <c r="D19" s="31"/>
      <c r="E19" s="10"/>
      <c r="F19" s="25"/>
      <c r="G19" s="22"/>
      <c r="H19" s="11"/>
    </row>
    <row r="20" spans="1:15" ht="18.75">
      <c r="A20" s="46"/>
      <c r="B20" s="70" t="s">
        <v>39</v>
      </c>
      <c r="C20" s="70"/>
      <c r="D20" s="70"/>
      <c r="E20" s="47"/>
      <c r="F20" s="47"/>
      <c r="G20" s="46" t="s">
        <v>40</v>
      </c>
      <c r="K20" s="36"/>
      <c r="L20" s="37"/>
      <c r="O20" s="1"/>
    </row>
    <row r="21" spans="1:15" ht="10.5" customHeight="1">
      <c r="A21" s="46"/>
      <c r="B21" s="70"/>
      <c r="C21" s="70"/>
      <c r="D21" s="70"/>
      <c r="E21" s="48"/>
      <c r="F21" s="48"/>
      <c r="G21" s="46"/>
      <c r="K21" s="20"/>
      <c r="L21" s="18"/>
      <c r="M21" s="1"/>
      <c r="O21" s="1"/>
    </row>
    <row r="22" spans="1:15" ht="18.75">
      <c r="A22" s="46"/>
      <c r="B22" s="70" t="s">
        <v>41</v>
      </c>
      <c r="C22" s="70"/>
      <c r="D22" s="70"/>
      <c r="E22" s="47"/>
      <c r="F22" s="47"/>
      <c r="G22" s="46" t="s">
        <v>83</v>
      </c>
      <c r="K22" s="20"/>
      <c r="L22" s="18"/>
      <c r="M22" s="1"/>
      <c r="O22" s="1"/>
    </row>
    <row r="23" spans="1:7" ht="9" customHeight="1">
      <c r="A23" s="46"/>
      <c r="B23" s="70"/>
      <c r="C23" s="70"/>
      <c r="D23" s="70"/>
      <c r="E23" s="46"/>
      <c r="F23" s="46"/>
      <c r="G23" s="46"/>
    </row>
    <row r="24" spans="1:7" ht="15.75" customHeight="1">
      <c r="A24" s="46"/>
      <c r="B24" s="70" t="s">
        <v>42</v>
      </c>
      <c r="C24" s="70"/>
      <c r="D24" s="70"/>
      <c r="E24" s="47"/>
      <c r="F24" s="47"/>
      <c r="G24" s="46" t="s">
        <v>43</v>
      </c>
    </row>
  </sheetData>
  <sheetProtection/>
  <mergeCells count="2">
    <mergeCell ref="B4:E4"/>
    <mergeCell ref="A6:H6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8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0" zoomScalePageLayoutView="0" workbookViewId="0" topLeftCell="A19">
      <selection activeCell="B14" sqref="B14"/>
    </sheetView>
  </sheetViews>
  <sheetFormatPr defaultColWidth="9.00390625" defaultRowHeight="12.75"/>
  <cols>
    <col min="1" max="1" width="32.00390625" style="0" customWidth="1"/>
    <col min="2" max="2" width="17.25390625" style="0" customWidth="1"/>
    <col min="3" max="3" width="20.75390625" style="0" customWidth="1"/>
    <col min="4" max="4" width="12.25390625" style="0" customWidth="1"/>
    <col min="5" max="5" width="11.25390625" style="0" customWidth="1"/>
    <col min="6" max="6" width="7.00390625" style="0" customWidth="1"/>
    <col min="7" max="7" width="4.625" style="0" customWidth="1"/>
    <col min="8" max="8" width="5.00390625" style="0" customWidth="1"/>
    <col min="9" max="9" width="15.00390625" style="0" customWidth="1"/>
    <col min="10" max="10" width="25.375" style="0" customWidth="1"/>
    <col min="13" max="13" width="10.75390625" style="0" customWidth="1"/>
  </cols>
  <sheetData>
    <row r="1" spans="3:6" ht="15.75">
      <c r="C1" s="168" t="s">
        <v>73</v>
      </c>
      <c r="D1" s="168"/>
      <c r="E1" s="168"/>
      <c r="F1" s="168"/>
    </row>
    <row r="2" spans="3:6" ht="15.75">
      <c r="C2" s="169" t="s">
        <v>85</v>
      </c>
      <c r="D2" s="169"/>
      <c r="E2" s="169"/>
      <c r="F2" s="169"/>
    </row>
    <row r="3" ht="30" customHeight="1"/>
    <row r="4" spans="1:9" ht="18.75">
      <c r="A4" s="173" t="s">
        <v>54</v>
      </c>
      <c r="B4" s="173"/>
      <c r="C4" s="173"/>
      <c r="D4" s="173"/>
      <c r="E4" s="173"/>
      <c r="F4" s="173"/>
      <c r="G4" s="57"/>
      <c r="H4" s="57"/>
      <c r="I4" s="57"/>
    </row>
    <row r="5" spans="1:7" ht="22.5" customHeight="1">
      <c r="A5" s="1"/>
      <c r="B5" s="32"/>
      <c r="C5" s="1"/>
      <c r="D5" s="32"/>
      <c r="E5" s="32"/>
      <c r="F5" s="32"/>
      <c r="G5" s="32"/>
    </row>
    <row r="6" spans="1:4" ht="19.5" thickBot="1">
      <c r="A6" s="53" t="s">
        <v>51</v>
      </c>
      <c r="B6" s="52"/>
      <c r="C6" s="52"/>
      <c r="D6" s="52"/>
    </row>
    <row r="7" spans="1:5" ht="18" customHeight="1" thickBot="1">
      <c r="A7" s="81"/>
      <c r="B7" s="82" t="s">
        <v>46</v>
      </c>
      <c r="C7" s="177" t="s">
        <v>47</v>
      </c>
      <c r="D7" s="178"/>
      <c r="E7" s="83" t="s">
        <v>49</v>
      </c>
    </row>
    <row r="8" spans="1:5" ht="18" customHeight="1">
      <c r="A8" s="159" t="s">
        <v>44</v>
      </c>
      <c r="B8" s="162">
        <v>1286.3</v>
      </c>
      <c r="C8" s="85" t="s">
        <v>64</v>
      </c>
      <c r="D8" s="94">
        <v>147.3</v>
      </c>
      <c r="E8" s="165">
        <f>B8+SUM(D8:D10)</f>
        <v>2050</v>
      </c>
    </row>
    <row r="9" spans="1:5" ht="18" customHeight="1">
      <c r="A9" s="160"/>
      <c r="B9" s="163"/>
      <c r="C9" s="84" t="s">
        <v>65</v>
      </c>
      <c r="D9" s="95">
        <v>191.4</v>
      </c>
      <c r="E9" s="166"/>
    </row>
    <row r="10" spans="1:5" ht="18" customHeight="1" thickBot="1">
      <c r="A10" s="161"/>
      <c r="B10" s="164"/>
      <c r="C10" s="87" t="s">
        <v>81</v>
      </c>
      <c r="D10" s="86">
        <v>425</v>
      </c>
      <c r="E10" s="167"/>
    </row>
    <row r="11" spans="1:5" ht="18" customHeight="1">
      <c r="A11" s="159" t="s">
        <v>48</v>
      </c>
      <c r="B11" s="162">
        <v>1289.1</v>
      </c>
      <c r="C11" s="78" t="s">
        <v>57</v>
      </c>
      <c r="D11" s="75">
        <v>167.31</v>
      </c>
      <c r="E11" s="165">
        <f>B11+SUM(D11:D13)</f>
        <v>1952.5</v>
      </c>
    </row>
    <row r="12" spans="1:5" ht="18" customHeight="1">
      <c r="A12" s="160"/>
      <c r="B12" s="163"/>
      <c r="C12" s="79" t="s">
        <v>55</v>
      </c>
      <c r="D12" s="76">
        <v>361.49</v>
      </c>
      <c r="E12" s="166"/>
    </row>
    <row r="13" spans="1:5" ht="18" customHeight="1" thickBot="1">
      <c r="A13" s="161"/>
      <c r="B13" s="164"/>
      <c r="C13" s="80" t="s">
        <v>56</v>
      </c>
      <c r="D13" s="77">
        <v>134.6</v>
      </c>
      <c r="E13" s="167"/>
    </row>
    <row r="14" spans="1:5" ht="18" customHeight="1">
      <c r="A14" s="88" t="s">
        <v>45</v>
      </c>
      <c r="B14" s="89">
        <f>B8+B11</f>
        <v>2575.3999999999996</v>
      </c>
      <c r="C14" s="90"/>
      <c r="D14" s="91">
        <f>SUM(D8:D13)</f>
        <v>1427.1</v>
      </c>
      <c r="E14" s="89">
        <f>E8+E11</f>
        <v>4002.5</v>
      </c>
    </row>
    <row r="15" ht="26.25" customHeight="1">
      <c r="A15" s="92"/>
    </row>
    <row r="16" ht="19.5" thickBot="1">
      <c r="A16" s="58" t="s">
        <v>87</v>
      </c>
    </row>
    <row r="17" spans="1:9" ht="45.75" customHeight="1" thickBot="1">
      <c r="A17" s="65" t="s">
        <v>33</v>
      </c>
      <c r="B17" s="174" t="s">
        <v>50</v>
      </c>
      <c r="C17" s="174"/>
      <c r="D17" s="66" t="s">
        <v>46</v>
      </c>
      <c r="E17" s="66" t="s">
        <v>47</v>
      </c>
      <c r="I17" s="96">
        <f>SUM(B18:B27,B30)</f>
        <v>712889.6551724139</v>
      </c>
    </row>
    <row r="18" spans="1:9" ht="34.5" customHeight="1">
      <c r="A18" s="60" t="str">
        <f>Смета!A15&amp;". "&amp;Смета!B15</f>
        <v>6. Подготовка домов к отопительному сезону</v>
      </c>
      <c r="B18" s="67">
        <f>Смета!H15</f>
        <v>80000</v>
      </c>
      <c r="C18" s="64" t="str">
        <f>"/ "&amp;$E$14&amp;" кв.м / 12 мес.="</f>
        <v>/ 4002,5 кв.м / 12 мес.=</v>
      </c>
      <c r="D18" s="61">
        <f>B18/$E$14/12</f>
        <v>1.6656256506350198</v>
      </c>
      <c r="E18" s="61">
        <f>B18/$E$14/12</f>
        <v>1.6656256506350198</v>
      </c>
      <c r="I18" s="97">
        <f>12*10.83*B14</f>
        <v>334698.984</v>
      </c>
    </row>
    <row r="19" spans="1:9" ht="18" customHeight="1">
      <c r="A19" s="175" t="str">
        <f>Смета!A16&amp;". "&amp;Смета!B16</f>
        <v>7.  Хозяйственные расходы</v>
      </c>
      <c r="B19" s="67">
        <f>Смета!H16</f>
        <v>18000</v>
      </c>
      <c r="C19" s="63" t="str">
        <f>"/ "&amp;$E$14&amp;" кв.м / 12 мес.="</f>
        <v>/ 4002,5 кв.м / 12 мес.=</v>
      </c>
      <c r="D19" s="62">
        <f>B19/$E$14/12</f>
        <v>0.3747657713928794</v>
      </c>
      <c r="E19" s="62">
        <f>B19/$E$14/12</f>
        <v>0.3747657713928794</v>
      </c>
      <c r="I19" s="97">
        <f>D14*7.26*12</f>
        <v>124328.95199999999</v>
      </c>
    </row>
    <row r="20" spans="1:9" ht="18" customHeight="1">
      <c r="A20" s="176"/>
      <c r="B20" s="67">
        <f>Смета!H17</f>
        <v>2000</v>
      </c>
      <c r="C20" s="63" t="str">
        <f>"/ "&amp;$B$14&amp;" кв.м / 12 мес.="</f>
        <v>/ 2575,4 кв.м / 12 мес.=</v>
      </c>
      <c r="D20" s="62">
        <f>B20/$B$14/12</f>
        <v>0.06471486629908624</v>
      </c>
      <c r="E20" s="62"/>
      <c r="I20" s="97">
        <f>38.89*60*12</f>
        <v>28000.800000000003</v>
      </c>
    </row>
    <row r="21" spans="1:9" ht="34.5" customHeight="1">
      <c r="A21" s="59" t="str">
        <f>Смета!A18&amp;". "&amp;Смета!B18</f>
        <v>8.  Взносы в резервный фонд</v>
      </c>
      <c r="B21" s="67">
        <f>Смета!H18</f>
        <v>10000</v>
      </c>
      <c r="C21" s="63" t="str">
        <f aca="true" t="shared" si="0" ref="C21:C26">"/ "&amp;$E$14&amp;" кв.м / 12 мес.="</f>
        <v>/ 4002,5 кв.м / 12 мес.=</v>
      </c>
      <c r="D21" s="62">
        <f aca="true" t="shared" si="1" ref="D21:D26">B21/$E$14/12</f>
        <v>0.20820320632937747</v>
      </c>
      <c r="E21" s="62">
        <f aca="true" t="shared" si="2" ref="E21:E26">B21/$E$14/12</f>
        <v>0.20820320632937747</v>
      </c>
      <c r="I21" s="97">
        <f>I18+I19+I20</f>
        <v>487028.736</v>
      </c>
    </row>
    <row r="22" spans="1:8" ht="34.5" customHeight="1">
      <c r="A22" s="59" t="str">
        <f>Смета!A19&amp;". "&amp;Смета!B19</f>
        <v>9. Обслуживание приборов учета </v>
      </c>
      <c r="B22" s="67">
        <f>Смета!H19</f>
        <v>18000</v>
      </c>
      <c r="C22" s="63" t="str">
        <f t="shared" si="0"/>
        <v>/ 4002,5 кв.м / 12 мес.=</v>
      </c>
      <c r="D22" s="62">
        <f t="shared" si="1"/>
        <v>0.3747657713928794</v>
      </c>
      <c r="E22" s="62">
        <f t="shared" si="2"/>
        <v>0.3747657713928794</v>
      </c>
      <c r="H22">
        <f>D28*45+D30</f>
        <v>763.3813040676536</v>
      </c>
    </row>
    <row r="23" spans="1:8" ht="18" customHeight="1">
      <c r="A23" s="59" t="str">
        <f>Смета!A20&amp;". "&amp;Смета!B20</f>
        <v>10. Уборка снега с крыши</v>
      </c>
      <c r="B23" s="67">
        <f>Смета!H20</f>
        <v>25000</v>
      </c>
      <c r="C23" s="63" t="str">
        <f t="shared" si="0"/>
        <v>/ 4002,5 кв.м / 12 мес.=</v>
      </c>
      <c r="D23" s="62">
        <f t="shared" si="1"/>
        <v>0.5205080158234437</v>
      </c>
      <c r="E23" s="62">
        <f t="shared" si="2"/>
        <v>0.5205080158234437</v>
      </c>
      <c r="H23">
        <f>8.61*45+90.27</f>
        <v>477.71999999999997</v>
      </c>
    </row>
    <row r="24" spans="1:9" ht="34.5" customHeight="1">
      <c r="A24" s="59" t="str">
        <f>Смета!A21&amp;". "&amp;Смета!B21</f>
        <v>11. Единый минимальный налог 1%</v>
      </c>
      <c r="B24" s="67">
        <f>Смета!H21</f>
        <v>25000</v>
      </c>
      <c r="C24" s="63" t="str">
        <f t="shared" si="0"/>
        <v>/ 4002,5 кв.м / 12 мес.=</v>
      </c>
      <c r="D24" s="62">
        <f t="shared" si="1"/>
        <v>0.5205080158234437</v>
      </c>
      <c r="E24" s="62">
        <f t="shared" si="2"/>
        <v>0.5205080158234437</v>
      </c>
      <c r="H24">
        <f>H22-H23</f>
        <v>285.6613040676536</v>
      </c>
      <c r="I24" t="s">
        <v>60</v>
      </c>
    </row>
    <row r="25" spans="1:9" ht="34.5" customHeight="1">
      <c r="A25" s="59" t="str">
        <f>Смета!A22&amp;". "&amp;Смета!B22</f>
        <v>12. Расчетно-кассовые услуги банка</v>
      </c>
      <c r="B25" s="67">
        <f>Смета!H22</f>
        <v>7800</v>
      </c>
      <c r="C25" s="63" t="str">
        <f t="shared" si="0"/>
        <v>/ 4002,5 кв.м / 12 мес.=</v>
      </c>
      <c r="D25" s="62">
        <f t="shared" si="1"/>
        <v>0.16239850093691444</v>
      </c>
      <c r="E25" s="62">
        <f t="shared" si="2"/>
        <v>0.16239850093691444</v>
      </c>
      <c r="I25" t="s">
        <v>62</v>
      </c>
    </row>
    <row r="26" spans="1:5" ht="65.25" customHeight="1">
      <c r="A26" s="59" t="str">
        <f>Смета!A23&amp;". "&amp;Смета!B23</f>
        <v>13. Заработная плата 
(председатель, управляющий, бухгалтер, сантехник, электрик)</v>
      </c>
      <c r="B26" s="68">
        <f>Смета!H23</f>
        <v>341586.20689655177</v>
      </c>
      <c r="C26" s="63" t="str">
        <f t="shared" si="0"/>
        <v>/ 4002,5 кв.м / 12 мес.=</v>
      </c>
      <c r="D26" s="62">
        <f t="shared" si="1"/>
        <v>7.1119343513752185</v>
      </c>
      <c r="E26" s="62">
        <f t="shared" si="2"/>
        <v>7.1119343513752185</v>
      </c>
    </row>
    <row r="27" spans="1:5" ht="37.5" customHeight="1" thickBot="1">
      <c r="A27" s="59" t="str">
        <f>Смета!A23&amp;". "&amp;Смета!B24</f>
        <v>13. Заработная плата 
(дворник, уборщица)</v>
      </c>
      <c r="B27" s="68">
        <f>Смета!H24</f>
        <v>157503.4482758621</v>
      </c>
      <c r="C27" s="63" t="str">
        <f>"/ "&amp;$B$14&amp;" кв.м / 12 мес.="</f>
        <v>/ 2575,4 кв.м / 12 мес.=</v>
      </c>
      <c r="D27" s="62">
        <f>B27/$B$14/12</f>
        <v>5.09640729840873</v>
      </c>
      <c r="E27" s="62"/>
    </row>
    <row r="28" spans="1:5" ht="18" customHeight="1">
      <c r="A28" s="170" t="s">
        <v>38</v>
      </c>
      <c r="B28" s="171"/>
      <c r="C28" s="172"/>
      <c r="D28" s="69">
        <f>SUM(D18:D27)</f>
        <v>16.099831448416992</v>
      </c>
      <c r="E28" s="69">
        <f>SUM(E18:E27)</f>
        <v>10.938709283709176</v>
      </c>
    </row>
    <row r="29" ht="30" customHeight="1">
      <c r="A29" s="58" t="s">
        <v>59</v>
      </c>
    </row>
    <row r="30" spans="1:5" ht="50.25" customHeight="1">
      <c r="A30" s="93" t="str">
        <f>Смета!A25&amp;". "&amp;Смета!B25</f>
        <v>14. Благоустройство придововой территории</v>
      </c>
      <c r="B30" s="68">
        <f>Смета!H25</f>
        <v>28000</v>
      </c>
      <c r="C30" s="63" t="str">
        <f>"/ 60 кв. / 12 мес.="</f>
        <v>/ 60 кв. / 12 мес.=</v>
      </c>
      <c r="D30" s="62">
        <f>B30/60/12</f>
        <v>38.88888888888889</v>
      </c>
      <c r="E30" s="62"/>
    </row>
    <row r="31" ht="17.25" customHeight="1"/>
    <row r="32" spans="1:4" ht="12.75">
      <c r="A32" t="s">
        <v>39</v>
      </c>
      <c r="B32" s="11"/>
      <c r="C32" s="47"/>
      <c r="D32" t="s">
        <v>40</v>
      </c>
    </row>
    <row r="33" spans="2:3" ht="12.75">
      <c r="B33" s="11"/>
      <c r="C33" s="48"/>
    </row>
    <row r="34" spans="1:4" ht="12.75">
      <c r="A34" t="s">
        <v>41</v>
      </c>
      <c r="B34" s="11"/>
      <c r="C34" s="47"/>
      <c r="D34" t="s">
        <v>83</v>
      </c>
    </row>
    <row r="35" ht="12.75">
      <c r="B35" s="11"/>
    </row>
    <row r="36" spans="1:4" ht="12.75">
      <c r="A36" t="s">
        <v>42</v>
      </c>
      <c r="B36" s="11"/>
      <c r="C36" s="47"/>
      <c r="D36" t="s">
        <v>43</v>
      </c>
    </row>
  </sheetData>
  <sheetProtection/>
  <mergeCells count="13">
    <mergeCell ref="A28:C28"/>
    <mergeCell ref="A4:F4"/>
    <mergeCell ref="B17:C17"/>
    <mergeCell ref="A19:A20"/>
    <mergeCell ref="C7:D7"/>
    <mergeCell ref="A8:A10"/>
    <mergeCell ref="B8:B10"/>
    <mergeCell ref="A11:A13"/>
    <mergeCell ref="B11:B13"/>
    <mergeCell ref="E8:E10"/>
    <mergeCell ref="C1:F1"/>
    <mergeCell ref="C2:F2"/>
    <mergeCell ref="E11:E13"/>
  </mergeCells>
  <printOptions/>
  <pageMargins left="0.5905511811023623" right="0.1968503937007874" top="0.3937007874015748" bottom="0.3937007874015748" header="0" footer="0"/>
  <pageSetup horizontalDpi="600" verticalDpi="600" orientation="portrait" paperSize="9" scale="90" r:id="rId1"/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Ушакова</dc:creator>
  <cp:keywords/>
  <dc:description/>
  <cp:lastModifiedBy>ParusNEW</cp:lastModifiedBy>
  <cp:lastPrinted>2013-05-18T04:21:40Z</cp:lastPrinted>
  <dcterms:created xsi:type="dcterms:W3CDTF">2008-05-26T14:17:06Z</dcterms:created>
  <dcterms:modified xsi:type="dcterms:W3CDTF">2013-05-18T04:22:22Z</dcterms:modified>
  <cp:category/>
  <cp:version/>
  <cp:contentType/>
  <cp:contentStatus/>
</cp:coreProperties>
</file>