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ходы 2011 год" sheetId="1" r:id="rId1"/>
    <sheet name="отчет ФХД за 2011г." sheetId="2" r:id="rId2"/>
    <sheet name="Расходы за период 2011-2012гг" sheetId="3" r:id="rId3"/>
  </sheets>
  <definedNames>
    <definedName name="_xlnm.Print_Area" localSheetId="1">'отчет ФХД за 2011г.'!$A$1:$F$91</definedName>
    <definedName name="_xlnm.Print_Area" localSheetId="0">'расходы 2011 год'!$A$1:$I$95</definedName>
  </definedNames>
  <calcPr fullCalcOnLoad="1"/>
</workbook>
</file>

<file path=xl/comments3.xml><?xml version="1.0" encoding="utf-8"?>
<comments xmlns="http://schemas.openxmlformats.org/spreadsheetml/2006/main">
  <authors>
    <author>диана</author>
  </authors>
  <commentList>
    <comment ref="C5" authorId="0">
      <text>
        <r>
          <rPr>
            <b/>
            <sz val="8"/>
            <rFont val="Tahoma"/>
            <family val="2"/>
          </rPr>
          <t>диана:</t>
        </r>
        <r>
          <rPr>
            <sz val="8"/>
            <rFont val="Tahoma"/>
            <family val="2"/>
          </rPr>
          <t xml:space="preserve">
оплата по факту без долгов
</t>
        </r>
      </text>
    </comment>
  </commentList>
</comments>
</file>

<file path=xl/sharedStrings.xml><?xml version="1.0" encoding="utf-8"?>
<sst xmlns="http://schemas.openxmlformats.org/spreadsheetml/2006/main" count="307" uniqueCount="195">
  <si>
    <t>№ п/п</t>
  </si>
  <si>
    <t xml:space="preserve">содержание расходов </t>
  </si>
  <si>
    <t xml:space="preserve">произведена оплата </t>
  </si>
  <si>
    <t>остаток</t>
  </si>
  <si>
    <t>за счет целевых взносов на завершение строительства дома</t>
  </si>
  <si>
    <t>запланировано по договорам</t>
  </si>
  <si>
    <t xml:space="preserve">всего поступило средств на счет </t>
  </si>
  <si>
    <t xml:space="preserve">за счет вступительных взносов </t>
  </si>
  <si>
    <t xml:space="preserve">за счет ежемесячных членских взносов </t>
  </si>
  <si>
    <t>Итого поступило средств</t>
  </si>
  <si>
    <t xml:space="preserve">Расходы на регистрацию ТСЖ </t>
  </si>
  <si>
    <t>ООО Технические средства безопасности, монтаж системы видеонаблюдения</t>
  </si>
  <si>
    <t>ООО "МИГ", демонтаж железобетонного забора с восточной стороны здания, вывозстроительного мусора и предварительная вертикальная планировка территории с северной и восточной стороны здания</t>
  </si>
  <si>
    <t>Фонарь, водосчетчик, вызов инспектора и опломбирование узла учета</t>
  </si>
  <si>
    <t>2 400,00 ежемесячно</t>
  </si>
  <si>
    <t>почтовые расходы</t>
  </si>
  <si>
    <t>отчисления в фонд социального страхования, пенсионный и ОМС</t>
  </si>
  <si>
    <t>ЗАО Связной, телефон на объект</t>
  </si>
  <si>
    <t>ООО Домоцентр, приобретение фильтра питания</t>
  </si>
  <si>
    <t>ООО "Томская лифтовая компания", установка лифтов</t>
  </si>
  <si>
    <t>Росрегистрация,  государственная пошлина</t>
  </si>
  <si>
    <t>доверенность и копии (нотариус)</t>
  </si>
  <si>
    <t>крупноформатное копирование тех. паспорта</t>
  </si>
  <si>
    <t>ООО "Стройгарант" (электромонтажные работы)</t>
  </si>
  <si>
    <t>ООО "Стройгарант" (монтаж внутренних систем отопления, водоснабжения, канализации, ливневой канализации, вентиляции)</t>
  </si>
  <si>
    <t>оплата охраны непосредственно на объекте ( с учетом НДФЛ)</t>
  </si>
  <si>
    <t>начисления з/пл председателя, бухгалтера, прораба (с учетом НДФЛ)</t>
  </si>
  <si>
    <t>Банковские услуги при организации работы ТСЖ: оформление карточки образцов подписей, комиссия за оформление договора Клиент-банк, за оформление договора на открытие расчетного счета; комиссия за открытие счета юр.лица;за прием наличных</t>
  </si>
  <si>
    <t>Билайн услуги сотовой связи на объекте</t>
  </si>
  <si>
    <t xml:space="preserve">Строй-Парк: материалы для окраски </t>
  </si>
  <si>
    <t>Работы по договорам подряда (разнорабочие) со страховыми взносами ПФР, ОМС</t>
  </si>
  <si>
    <t>ИП Ламинский (снос тополей)</t>
  </si>
  <si>
    <t>Строй парк, материалы, необходимые при строительстве (лампы, патроны)</t>
  </si>
  <si>
    <t>Банковские услуги:установка Клиент-банка; ежемесячная комиссия за обслуживание Клиент-банка, за ведение счета; комиссия за перечисление платежей</t>
  </si>
  <si>
    <t>ТЦЦС (проверка правильности сметной документации)</t>
  </si>
  <si>
    <t>Сигнальная лента для ограждения</t>
  </si>
  <si>
    <t>метлы</t>
  </si>
  <si>
    <t>почтовый ящик, замок</t>
  </si>
  <si>
    <t>Приобретение прожекторных ламп, дизельного топлива</t>
  </si>
  <si>
    <t>ООО Спектр систем безопасности (установка дверей, домофонов)</t>
  </si>
  <si>
    <t>ООО Автострой-К (доставка песка, ГПС)</t>
  </si>
  <si>
    <t>ООО "ЧОП "Ирбис" (тревожная кнопка)</t>
  </si>
  <si>
    <t>Работы по договорам подряда (расширение лифтового проема) со страховыми взносами ПФР, ОМС</t>
  </si>
  <si>
    <t>ИП Толстов С.И. (шпатлевка)</t>
  </si>
  <si>
    <t>Работы по договорам подряда (подготовка пакета документов для ввода объекта,) со страховыми взносами ПФР, ОМС</t>
  </si>
  <si>
    <t>Работы по договорам подряда (окраска потолка во втроенных гаражах-стоянках,) со страховыми взносами ПФР, ОМС</t>
  </si>
  <si>
    <t xml:space="preserve">Строй-Парк: расходные материалы </t>
  </si>
  <si>
    <t>ОГУП "ТОЦТИ" (проведение технической инвентаризации)</t>
  </si>
  <si>
    <t>ООО "СК "СПС-Оптим", устройство парапетов и водосточных труб</t>
  </si>
  <si>
    <t>ФБУЗ "Центр гигиены и эпидемиологии в ТО" (инструментальные исследования)</t>
  </si>
  <si>
    <t>ИП Джабиев Т.Н., штукатурно-малярные работы, отсыпка полов песком, ГПС, гравием, бетонирование</t>
  </si>
  <si>
    <t>ООО "Митра" (укладка плитки в подъезде)</t>
  </si>
  <si>
    <t>ООО "Базис-Т" (работы по монтажу наружных сетей энергоснабжения)</t>
  </si>
  <si>
    <t>ИП Лоцман А,М, (монтаж автоматической пожарной сигнализации, оповещения и пожаротушения)</t>
  </si>
  <si>
    <t>ИП Сидоров Е.В. (оштукатуривание стен, заливка полов цементной стяжкой)</t>
  </si>
  <si>
    <t>ООО "СК "СПС-Оптим", устройство плитки бетонной в подъездах</t>
  </si>
  <si>
    <t>ООО "ТомВодСтрой", строительство наружных сетей канализации</t>
  </si>
  <si>
    <t>оплата за выкопировку здания</t>
  </si>
  <si>
    <t>ООО "Парадный вход", противопожарные, межкомнатные двери и их установка</t>
  </si>
  <si>
    <t>ИП Барсуков Е.В. (уборка дома,вывоз мусора)</t>
  </si>
  <si>
    <t>Стройпарк (расходные материалы)</t>
  </si>
  <si>
    <t>Стройпарк (зубило, рукавицы, очки защитные и т.п)</t>
  </si>
  <si>
    <t>Стройпарк (лампа паяльная)</t>
  </si>
  <si>
    <t>ООО "Томскводоканал" (водоснабжение на стройке)</t>
  </si>
  <si>
    <t>Охрана объекта ЧОП Аргус-Томск</t>
  </si>
  <si>
    <t>ГорАПбюро, составление справки-заключения о соответствии разрешительным документам</t>
  </si>
  <si>
    <t>Работы продолжаются</t>
  </si>
  <si>
    <t>ООО "Альбатрос", юридические услуги</t>
  </si>
  <si>
    <t>ООО "Шефмонтаж", ворота секционные гаражные</t>
  </si>
  <si>
    <t>ООО "Митра", ящики почтовые (236 шт)</t>
  </si>
  <si>
    <t>ООО "Горсети", монтаж и наладка электроучета АСКУЭ включения</t>
  </si>
  <si>
    <t>ООО "Томскводоканал", устройство врезки</t>
  </si>
  <si>
    <t>ООО "Полимер", остекление межэтажных дверей</t>
  </si>
  <si>
    <t>ООО "Димакс строй" (остекление дома, оформление откосов в подъездах сэндвич-панелями и установка решеток, укрепление балконов, установка экранов на верандах, заливка технологических отверстий, заливка бетоном приямков лифтовых шахт, металлопрофиль на верандах)</t>
  </si>
  <si>
    <t>поступило средств на счет из областного бюджета</t>
  </si>
  <si>
    <t>поступило средств на счет от дольщиков</t>
  </si>
  <si>
    <t>ООО "Стройгарант" (благоустройство)</t>
  </si>
  <si>
    <t>ООО "Горсети", мероприятия по технологическому подключению к электроснабжению</t>
  </si>
  <si>
    <t>ОГУП "ТОЦТИ", изготовление кадастровых паспортов</t>
  </si>
  <si>
    <t>ООО "Энергокомфорт Сибирь"  проверка схемы включения однофазного электросчетчика и опломбирование</t>
  </si>
  <si>
    <t>за счет целевых средств областной администрации</t>
  </si>
  <si>
    <t>ООО "Димакс строй" (остекление веранд)</t>
  </si>
  <si>
    <t xml:space="preserve">ООО "СК "СПС-Оптим", 1) устройство кровли из наплавляемых материалов и устройство металлической кровли (крыша дома, веранды, вход в 1 и 5 блок-секции. 2) тепловой узел, выезды из гаражей. 3) доп.работы по устройству металлической кровли. 4). устройство бетонного ленточного фундамента и кирпичных перегородок в подвале. 5) устройство крыльца и приямков. </t>
  </si>
  <si>
    <t>Расходы за период с 04.05.2011 - 31.12.2011</t>
  </si>
  <si>
    <t>Поступления от собственников целевых взносов на завершение строительства дома</t>
  </si>
  <si>
    <t>произведенные расходы</t>
  </si>
  <si>
    <t>мероприятия по технологическому подключению к электроснабжению</t>
  </si>
  <si>
    <t>Содержание расходов на завершение строительства дома</t>
  </si>
  <si>
    <t>Всего:</t>
  </si>
  <si>
    <t>Расходы на завершение строительства дома</t>
  </si>
  <si>
    <t xml:space="preserve">Поступления субсидии из областного бюджета </t>
  </si>
  <si>
    <t>благоустройство</t>
  </si>
  <si>
    <t>работы по монтажу наружных сетей энергоснабжения</t>
  </si>
  <si>
    <t>строительство наружных сетей канализации</t>
  </si>
  <si>
    <t>монтаж и наладка электроучета АСКУЭ включения</t>
  </si>
  <si>
    <t>устройство врезки водоснабжения</t>
  </si>
  <si>
    <t>Расходы на технологическое присоединение к сетям</t>
  </si>
  <si>
    <r>
      <t xml:space="preserve">Всего: </t>
    </r>
    <r>
      <rPr>
        <i/>
        <sz val="10"/>
        <color indexed="10"/>
        <rFont val="Arial"/>
        <family val="2"/>
      </rPr>
      <t xml:space="preserve">                                                                                                        в том числе:</t>
    </r>
  </si>
  <si>
    <t>Общие работы (разнорабочие по договорам подряда)</t>
  </si>
  <si>
    <t>Остаток на 01.01.2012</t>
  </si>
  <si>
    <t xml:space="preserve">Поступления от собственников вступительных взносов </t>
  </si>
  <si>
    <t>Расходы на нужды ТСЖ</t>
  </si>
  <si>
    <t xml:space="preserve">Содержание расходов </t>
  </si>
  <si>
    <t xml:space="preserve">Организационные расходы на создание ТСЖ </t>
  </si>
  <si>
    <t>Прочие расходы (государственная пошлина росрегистрации, оплата за выкопировку здания)</t>
  </si>
  <si>
    <t>Юридические услуги (услуги нотариуса)</t>
  </si>
  <si>
    <t>Приобретение сотового телефона на объект</t>
  </si>
  <si>
    <t>Услуги сотовой связи на объекте</t>
  </si>
  <si>
    <t>Приобретение хозматериалов (почтовый ящик, замок)</t>
  </si>
  <si>
    <t>Крупноформатное копирование тех. паспорта</t>
  </si>
  <si>
    <t>Почтовые расходы</t>
  </si>
  <si>
    <t>Монтаж системы видеонаблюдения на фасаде здания</t>
  </si>
  <si>
    <t>Демонтаж железобетонного забора с восточной стороны здания, вывозстроительного мусора и предварительная вертикальная планировка территории с северной и восточной стороны здания</t>
  </si>
  <si>
    <t xml:space="preserve">Устройство кровли из наплавляемых материалов и устройство металлической кровли (крыша дома, веранды, вход в 1 и 5 блок-секции;                                                                                           Тепловой узел, выезды из гаражей;                                                   Доп.работы по устройству металлической кровли;                                Устройство бетонного ленточного фундамента и кирпичных перегородок в подвале;                                                                  Устройство крыльца и приямков. </t>
  </si>
  <si>
    <t>Устройство плитки бетонной в подъездах</t>
  </si>
  <si>
    <t xml:space="preserve"> Устройство парапетов и водосточных труб</t>
  </si>
  <si>
    <t>Остекление дома, оформление откосов в подъездах сэндвич-панелями и установка решеток, укрепление балконов, установка экранов на верандах, заливка технологических отверстий, заливка бетоном приямков лифтовых шахт, металлопрофиль на верандах</t>
  </si>
  <si>
    <t>Остекление веранд</t>
  </si>
  <si>
    <t>Электромонтажные работы</t>
  </si>
  <si>
    <t>Монтаж внутренних систем отопления, водоснабжения, канализации, ливневой канализации, вентиляции</t>
  </si>
  <si>
    <t>Установка лифтов</t>
  </si>
  <si>
    <t>Штукатурно-малярные работы, отсыпка полов песком, ГПС, гравием, бетонирование</t>
  </si>
  <si>
    <t>Противопожарные, межкомнатные двери и их установка</t>
  </si>
  <si>
    <t>Установка дверей, домофонов</t>
  </si>
  <si>
    <t>Доставка песка, гравия</t>
  </si>
  <si>
    <t>Снос тополей на территории дома</t>
  </si>
  <si>
    <t>Проверка правильности сметной документации</t>
  </si>
  <si>
    <t xml:space="preserve">Расширение лифтового проема </t>
  </si>
  <si>
    <t>Подготовка пакета документов для ввода объекта</t>
  </si>
  <si>
    <t>Окраска потолка во встроенных гаражах-стоянках</t>
  </si>
  <si>
    <t>Укладка плитки в подъезде</t>
  </si>
  <si>
    <t>Проведение технической инвентаризации</t>
  </si>
  <si>
    <t>Инструментальные исследования</t>
  </si>
  <si>
    <t>Монтаж автоматической пожарной сигнализации, оповещения и пожаротушения</t>
  </si>
  <si>
    <t>Оштукатуривание стен, заливка полов цементной стяжкой</t>
  </si>
  <si>
    <t>Уборка, вывоз строительного, бытового мусора</t>
  </si>
  <si>
    <t>Расходные материалы (лампы, стройматериалы, хозяйственные, лако-красочные)</t>
  </si>
  <si>
    <t>Водоснабжение на объекте в период строительства</t>
  </si>
  <si>
    <t>Составление справки-заключения о соответствии разрешительным документам</t>
  </si>
  <si>
    <t>Юридические услуги (оформление свидетельств собственников)</t>
  </si>
  <si>
    <t>Ящики почтовые (236 шт)</t>
  </si>
  <si>
    <t>Остекление межэтажных дверей</t>
  </si>
  <si>
    <t>Проверка схемы включения однофазного электросчетчика и опломбирование</t>
  </si>
  <si>
    <t>Мероприятия по технологическому подключению к электроснабжению</t>
  </si>
  <si>
    <t>Прочие расходы (поощрительные выплаты прорабу по решению правления ТСЖ)</t>
  </si>
  <si>
    <t>Приобретение, установка ворот секционных гаражных</t>
  </si>
  <si>
    <t>Изготовление кадастровых паспортов</t>
  </si>
  <si>
    <t>Поступления от собственников ежемесячных членских взносов</t>
  </si>
  <si>
    <t>Обслуживание "кнопки тревожной сигнализации"</t>
  </si>
  <si>
    <t>Охрана объекта ЧОП Аргус-Томск с ноября по декабрь</t>
  </si>
  <si>
    <t>Охрана здания по договорам подряда с мая по октябрь</t>
  </si>
  <si>
    <t xml:space="preserve">Заработная плата председателя, бухгалтера (с отчислениями во внебюджетные фонды) </t>
  </si>
  <si>
    <t>Председатель ТСЖ "Советская, 69"</t>
  </si>
  <si>
    <t>А.В. Скобельский</t>
  </si>
  <si>
    <t>Отчет о финансово-хозяйственной деятельности                                        ТСЖ "Советская, 69" за 2011 год</t>
  </si>
  <si>
    <t>премия прорабу (со всеми отчислениями во внебюджетные фонды)</t>
  </si>
  <si>
    <t>Расходы за период с 04.05.2011 - 20.05.2012</t>
  </si>
  <si>
    <t>долг по оплате</t>
  </si>
  <si>
    <t>ООО "МИГ", демонтаж железобетонного забора с восточной стороны здания, вывоз строительного мусора и предварительная вертикальная планировка территории с северной и восточной стороны здания (май 2011г).</t>
  </si>
  <si>
    <t>ООО "СК "СПС-Оптим" ( устройство кровли из наплавляемых материалов и устройство металлической кровли (крыша дома, веранды, вход в 1 и 5 блок-секции)</t>
  </si>
  <si>
    <t xml:space="preserve">ООО "СК "СПС-Оптим" (устройство плитки бетонной в подъездах, монтаж обрамлений входа в подвал, навеска водосточных труб, устройство защитного уголкавентиляционных шахт) </t>
  </si>
  <si>
    <t xml:space="preserve">ООО "СК "СПС-Оптим" (устройство парапетов на крыльца из крашеного оцинкованного листа) </t>
  </si>
  <si>
    <t>ООО "СК "СПС-Оптим" ( устройство крыльца и приямков)</t>
  </si>
  <si>
    <t>ООО "СК "СПС-Оптим" (устройство парапетов и обрамлений, кровельного покрытия здания)</t>
  </si>
  <si>
    <t>ООО "СК "СПС-Оптим" (устройство бетонного ленточного фундамента и кирпичных перегородок в подвале)</t>
  </si>
  <si>
    <t>ООО "СК "СПС-Оптим" (сварочные работы в машинных помещениях, приямках, отливы на крыльце 2, 4 под.)</t>
  </si>
  <si>
    <t>ООО "СК "СПС-Оптим" (устройство мягкой кровли)</t>
  </si>
  <si>
    <t>ООО "Димакс строй" (остекление дома, оформление откосов в подъездах сэндвич-панелями и установка решеток, укрепление балконов, установка экранов на верандах, заливка технологических отверстий, заливка бетоном приямков лифтовых шахт, металлические решетки на технических этажах)</t>
  </si>
  <si>
    <t>ООО "Димакс строй" (ограждение веранд профилем, остекление веранд)</t>
  </si>
  <si>
    <t>ООО "Стройгарант" (монтаж мертвых опор, пожарных гидрантов)</t>
  </si>
  <si>
    <t>ООО "Парадный вход", противопожарные, входные межквартирные, подъездные двери и их установка</t>
  </si>
  <si>
    <t>ИП Гусарова Е.А. (изготовление адресных табличек на дом, подъезды)</t>
  </si>
  <si>
    <t>ИП Гусарова Е.А. (изготовление досок для объявлений в  подъезды)</t>
  </si>
  <si>
    <t>ООО Спектр систем безопасности (установка дверей в подъезды, цоколь)</t>
  </si>
  <si>
    <t>ООО Спектр систем безопасности (установка домофонов 5шт., трубок 231шт., магнитые ключи 462 шт. + 8 шт. для обслуживающего персонала, программирование ключей)</t>
  </si>
  <si>
    <t>за счет средств собственников квартир</t>
  </si>
  <si>
    <t>ООО "Митра", ящики почтовые (231 шт + 5 шт для ТСЖ)</t>
  </si>
  <si>
    <t>ООО "Митра", водосчетчики (550 шт)+работа по их установке</t>
  </si>
  <si>
    <t>ООО "Шефмонтаж", ворота секционные гаражные, пульты от ворот</t>
  </si>
  <si>
    <t>за счет средств собственников гаражей</t>
  </si>
  <si>
    <t>СФТИ ТГУ (установка оборудования эфирного телевидения)</t>
  </si>
  <si>
    <t>ООО "ПРО автоматик"(отливы на крыше, слуховые окна на чердаке)</t>
  </si>
  <si>
    <t>ИТОГО выполнено по договорам</t>
  </si>
  <si>
    <t>Работы по договорам подряда (общестроительные работы) со страховыми взносами ПФР, ОМС</t>
  </si>
  <si>
    <t>январь-апрель</t>
  </si>
  <si>
    <t>оплата за работу прораба (со всеми отчислениями во внебюджетные фонды)</t>
  </si>
  <si>
    <t>блок питания к видеонаблюдению</t>
  </si>
  <si>
    <t>ИТОГО выполнено работниками ТСЖ</t>
  </si>
  <si>
    <t>УМП Городское архитектурно-планировочное бюро (составление справки-заключения о соответствии разрешительным документам)</t>
  </si>
  <si>
    <t>ИП Лоцман А,М, (разработка декларации по пожарной безопасности)</t>
  </si>
  <si>
    <t>ООО "Томский инженерный центр", расчет теплопоступлений</t>
  </si>
  <si>
    <t>УМП Городское архитектурно-планировочное бюро (исполнительная съемка подземного эл.кабеля)</t>
  </si>
  <si>
    <t>ООО "Энергосервис" (составление технического отчета по результатам энергетическго обследования)</t>
  </si>
  <si>
    <t>АНО ИКЦ "Котлонадзор" (освидетельствование лифтов)</t>
  </si>
  <si>
    <t>Итого оплата за оформление различных документов: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</si>
</sst>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wrapText="1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" fontId="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 vertical="top" wrapText="1"/>
    </xf>
    <xf numFmtId="4" fontId="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4" fontId="5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>
      <alignment horizontal="center" vertical="top" wrapText="1"/>
    </xf>
    <xf numFmtId="4" fontId="5" fillId="0" borderId="2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7"/>
  <sheetViews>
    <sheetView view="pageBreakPreview" zoomScaleSheetLayoutView="100" zoomScalePageLayoutView="0" workbookViewId="0" topLeftCell="A53">
      <selection activeCell="A54" sqref="A54:F54"/>
    </sheetView>
  </sheetViews>
  <sheetFormatPr defaultColWidth="9.140625" defaultRowHeight="12.75"/>
  <cols>
    <col min="1" max="1" width="4.28125" style="2" customWidth="1"/>
    <col min="2" max="2" width="59.28125" style="2" customWidth="1"/>
    <col min="3" max="3" width="21.28125" style="2" customWidth="1"/>
    <col min="4" max="4" width="16.57421875" style="2" customWidth="1"/>
    <col min="5" max="5" width="16.8515625" style="0" customWidth="1"/>
    <col min="6" max="6" width="19.00390625" style="0" customWidth="1"/>
    <col min="7" max="7" width="11.28125" style="0" customWidth="1"/>
    <col min="8" max="8" width="11.57421875" style="0" bestFit="1" customWidth="1"/>
    <col min="9" max="9" width="16.00390625" style="0" customWidth="1"/>
  </cols>
  <sheetData>
    <row r="1" spans="1:6" ht="18" customHeight="1">
      <c r="A1" s="94" t="s">
        <v>83</v>
      </c>
      <c r="B1" s="94"/>
      <c r="C1" s="94"/>
      <c r="D1" s="94"/>
      <c r="E1" s="94"/>
      <c r="F1" s="94"/>
    </row>
    <row r="2" ht="12.75" hidden="1"/>
    <row r="3" spans="1:7" ht="25.5" customHeight="1">
      <c r="A3" s="77" t="s">
        <v>4</v>
      </c>
      <c r="B3" s="80"/>
      <c r="C3" s="80"/>
      <c r="D3" s="80"/>
      <c r="E3" s="80"/>
      <c r="F3" s="81"/>
      <c r="G3" s="1"/>
    </row>
    <row r="4" spans="1:7" ht="26.25" customHeight="1">
      <c r="A4" s="7" t="s">
        <v>0</v>
      </c>
      <c r="B4" s="95" t="s">
        <v>1</v>
      </c>
      <c r="C4" s="96"/>
      <c r="D4" s="9" t="s">
        <v>5</v>
      </c>
      <c r="E4" s="8" t="s">
        <v>2</v>
      </c>
      <c r="F4" s="10" t="s">
        <v>3</v>
      </c>
      <c r="G4" s="1"/>
    </row>
    <row r="5" spans="1:7" ht="21.75" customHeight="1">
      <c r="A5" s="82" t="s">
        <v>75</v>
      </c>
      <c r="B5" s="83"/>
      <c r="C5" s="86">
        <f>30932674.9+248307.68-67104.56+180700+105990+30000+42769.86+54319.75+148069.85-50000+133040+25000+2790+2790</f>
        <v>31789347.48</v>
      </c>
      <c r="D5" s="88"/>
      <c r="E5" s="88">
        <f>SUM(E7:E52)</f>
        <v>27589689.039999995</v>
      </c>
      <c r="F5" s="88">
        <f>C5+C6-E5</f>
        <v>4199658.440000005</v>
      </c>
      <c r="G5" s="1"/>
    </row>
    <row r="6" spans="1:7" ht="1.5" customHeight="1">
      <c r="A6" s="84"/>
      <c r="B6" s="85"/>
      <c r="C6" s="87"/>
      <c r="D6" s="89"/>
      <c r="E6" s="92"/>
      <c r="F6" s="92"/>
      <c r="G6" s="1"/>
    </row>
    <row r="7" spans="1:7" ht="69.75" customHeight="1">
      <c r="A7" s="4">
        <v>1</v>
      </c>
      <c r="B7" s="21" t="s">
        <v>12</v>
      </c>
      <c r="C7" s="22"/>
      <c r="D7" s="12">
        <v>100000</v>
      </c>
      <c r="E7" s="13">
        <v>100000</v>
      </c>
      <c r="F7" s="13">
        <f>D7-E7</f>
        <v>0</v>
      </c>
      <c r="G7" s="1"/>
    </row>
    <row r="8" spans="1:9" s="30" customFormat="1" ht="111" customHeight="1">
      <c r="A8" s="4">
        <v>2</v>
      </c>
      <c r="B8" s="37" t="s">
        <v>82</v>
      </c>
      <c r="C8" s="22"/>
      <c r="D8" s="12">
        <f>1097499+31450+124551+312331+198000</f>
        <v>1763831</v>
      </c>
      <c r="E8" s="13">
        <f>495600+67300+106751.18+244655.21+183192.61+31450+124551+312331+198000</f>
        <v>1763831</v>
      </c>
      <c r="F8" s="13">
        <f aca="true" t="shared" si="0" ref="F8:F15">D8-E8</f>
        <v>0</v>
      </c>
      <c r="G8" s="1"/>
      <c r="H8" s="1"/>
      <c r="I8" s="1"/>
    </row>
    <row r="9" spans="1:9" s="30" customFormat="1" ht="53.25" customHeight="1">
      <c r="A9" s="5">
        <v>3</v>
      </c>
      <c r="B9" s="21" t="s">
        <v>55</v>
      </c>
      <c r="C9" s="6"/>
      <c r="D9" s="12">
        <v>82400</v>
      </c>
      <c r="E9" s="13">
        <v>82400</v>
      </c>
      <c r="F9" s="13">
        <f>D9-E9</f>
        <v>0</v>
      </c>
      <c r="G9" s="1"/>
      <c r="H9" s="1"/>
      <c r="I9" s="1"/>
    </row>
    <row r="10" spans="1:9" s="30" customFormat="1" ht="53.25" customHeight="1">
      <c r="A10" s="5">
        <v>4</v>
      </c>
      <c r="B10" s="21" t="s">
        <v>48</v>
      </c>
      <c r="C10" s="22"/>
      <c r="D10" s="12">
        <v>76000</v>
      </c>
      <c r="E10" s="13">
        <v>38000</v>
      </c>
      <c r="F10" s="13">
        <f>D10-E10</f>
        <v>38000</v>
      </c>
      <c r="G10" s="1"/>
      <c r="H10" s="1"/>
      <c r="I10" s="1"/>
    </row>
    <row r="11" spans="1:7" ht="70.5" customHeight="1">
      <c r="A11" s="4">
        <v>5</v>
      </c>
      <c r="B11" s="28" t="s">
        <v>73</v>
      </c>
      <c r="C11" s="22"/>
      <c r="D11" s="12">
        <f>994816+209155+58896+298930+45014+168190+8820+11660</f>
        <v>1795481</v>
      </c>
      <c r="E11" s="13">
        <f>490000+219606+251205+140000+65560+210000+100000+100000+100000+100000</f>
        <v>1776371</v>
      </c>
      <c r="F11" s="13">
        <f t="shared" si="0"/>
        <v>19110</v>
      </c>
      <c r="G11" s="1"/>
    </row>
    <row r="12" spans="1:7" ht="40.5" customHeight="1">
      <c r="A12" s="5">
        <v>6</v>
      </c>
      <c r="B12" s="21" t="s">
        <v>23</v>
      </c>
      <c r="C12" s="22"/>
      <c r="D12" s="12">
        <v>4412500</v>
      </c>
      <c r="E12" s="13">
        <f>490000+490000+490000+490000+490000+490000+490000+490000+492500</f>
        <v>4412500</v>
      </c>
      <c r="F12" s="13">
        <f t="shared" si="0"/>
        <v>0</v>
      </c>
      <c r="G12" s="1"/>
    </row>
    <row r="13" spans="1:9" s="30" customFormat="1" ht="38.25">
      <c r="A13" s="5">
        <v>7</v>
      </c>
      <c r="B13" s="28" t="s">
        <v>24</v>
      </c>
      <c r="C13" s="22"/>
      <c r="D13" s="12">
        <f>8102444+462883.24</f>
        <v>8565327.24</v>
      </c>
      <c r="E13" s="13">
        <f>490000+490000+490000+490000+490000+490000+490000+490000+490000+490000+490000+490000+490000+490000+490000+490000+262444+462883.24</f>
        <v>8565327.24</v>
      </c>
      <c r="F13" s="13">
        <f t="shared" si="0"/>
        <v>0</v>
      </c>
      <c r="G13" s="1"/>
      <c r="H13" s="1"/>
      <c r="I13" s="1"/>
    </row>
    <row r="14" spans="1:167" ht="26.25" customHeight="1">
      <c r="A14" s="4">
        <v>8</v>
      </c>
      <c r="B14" s="21" t="s">
        <v>19</v>
      </c>
      <c r="C14" s="22"/>
      <c r="D14" s="12">
        <v>969392</v>
      </c>
      <c r="E14" s="13">
        <v>581635</v>
      </c>
      <c r="F14" s="13">
        <f t="shared" si="0"/>
        <v>387757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26.25" customHeight="1">
      <c r="A15" s="4">
        <v>9</v>
      </c>
      <c r="B15" s="21" t="s">
        <v>50</v>
      </c>
      <c r="C15" s="22" t="s">
        <v>66</v>
      </c>
      <c r="D15" s="12">
        <f>4992361.25+300000+1101589.59</f>
        <v>6393950.84</v>
      </c>
      <c r="E15" s="13">
        <f>150000+300000+1530463.7+500000+150000+500000+100000+1500000+261897.55+300000+1101589.59</f>
        <v>6393950.84</v>
      </c>
      <c r="F15" s="13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26.25" customHeight="1">
      <c r="A16" s="4">
        <v>10</v>
      </c>
      <c r="B16" s="21" t="s">
        <v>58</v>
      </c>
      <c r="C16" s="22"/>
      <c r="D16" s="12">
        <f>693256.5+736</f>
        <v>693992.5</v>
      </c>
      <c r="E16" s="13">
        <f>339315+30924+49627.5+273390+736</f>
        <v>693992.5</v>
      </c>
      <c r="F16" s="13">
        <f>D16-E16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26.25" customHeight="1">
      <c r="A17" s="4">
        <v>11</v>
      </c>
      <c r="B17" s="21" t="s">
        <v>32</v>
      </c>
      <c r="C17" s="22"/>
      <c r="D17" s="12"/>
      <c r="E17" s="13">
        <f>441.6+1037.76</f>
        <v>1479.3600000000001</v>
      </c>
      <c r="F17" s="1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26.25" customHeight="1">
      <c r="A18" s="4">
        <v>12</v>
      </c>
      <c r="B18" s="23" t="s">
        <v>39</v>
      </c>
      <c r="C18" s="22"/>
      <c r="D18" s="12">
        <f>117000+20000</f>
        <v>137000</v>
      </c>
      <c r="E18" s="13">
        <f>58500+78500</f>
        <v>137000</v>
      </c>
      <c r="F18" s="13">
        <f>D18-E18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26.25" customHeight="1">
      <c r="A19" s="4">
        <v>13</v>
      </c>
      <c r="B19" s="21" t="s">
        <v>29</v>
      </c>
      <c r="C19" s="22"/>
      <c r="D19" s="12"/>
      <c r="E19" s="13">
        <f>2570.48+1002.65+3759.46+1794+544.05+2334.96+1775.3</f>
        <v>13780.899999999998</v>
      </c>
      <c r="F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45.75" customHeight="1">
      <c r="A20" s="4">
        <v>14</v>
      </c>
      <c r="B20" s="26" t="s">
        <v>40</v>
      </c>
      <c r="C20" s="27"/>
      <c r="D20" s="12"/>
      <c r="E20" s="13">
        <f>17500+17500+12600+11200+56550+92000+44300+2100</f>
        <v>253750</v>
      </c>
      <c r="F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27.75" customHeight="1">
      <c r="A21" s="4">
        <v>15</v>
      </c>
      <c r="B21" s="21" t="s">
        <v>30</v>
      </c>
      <c r="C21" s="22"/>
      <c r="D21" s="12">
        <f>34500+1069.5+690+7935+1035+16387.5+4111.77+(17250+17250)*131.1%</f>
        <v>110958.27</v>
      </c>
      <c r="E21" s="13">
        <f>45229.5+10875+1625+408+2728.36+4862.91+690+1069.5+4486+8970+15007+15007</f>
        <v>110958.27</v>
      </c>
      <c r="F21" s="13">
        <f>D21-E21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33" customHeight="1">
      <c r="A22" s="4">
        <v>16</v>
      </c>
      <c r="B22" s="21" t="s">
        <v>31</v>
      </c>
      <c r="C22" s="22"/>
      <c r="D22" s="12">
        <f>60299.86+110000</f>
        <v>170299.86</v>
      </c>
      <c r="E22" s="13">
        <f>60299.86+110000</f>
        <v>170299.86</v>
      </c>
      <c r="F22" s="13">
        <f>D22-E22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30.75" customHeight="1">
      <c r="A23" s="4">
        <v>17</v>
      </c>
      <c r="B23" s="27" t="s">
        <v>34</v>
      </c>
      <c r="C23" s="27"/>
      <c r="D23" s="12">
        <f>4500+3900</f>
        <v>8400</v>
      </c>
      <c r="E23" s="13">
        <f>4500+3900</f>
        <v>8400</v>
      </c>
      <c r="F23" s="13">
        <f>D23-E23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30.75" customHeight="1">
      <c r="A24" s="4">
        <v>18</v>
      </c>
      <c r="B24" s="21" t="s">
        <v>42</v>
      </c>
      <c r="C24" s="22"/>
      <c r="D24" s="12">
        <v>12061</v>
      </c>
      <c r="E24" s="13">
        <f>1196+8004+2861</f>
        <v>12061</v>
      </c>
      <c r="F24" s="13">
        <f>D24-E24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38.25" customHeight="1">
      <c r="A25" s="4">
        <v>19</v>
      </c>
      <c r="B25" s="21" t="s">
        <v>43</v>
      </c>
      <c r="C25" s="22"/>
      <c r="D25" s="12"/>
      <c r="E25" s="13">
        <f>4712.5+377</f>
        <v>5089.5</v>
      </c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36" customHeight="1">
      <c r="A26" s="5">
        <v>20</v>
      </c>
      <c r="B26" s="21" t="s">
        <v>44</v>
      </c>
      <c r="C26" s="22"/>
      <c r="D26" s="12">
        <v>4111.3</v>
      </c>
      <c r="E26" s="13">
        <f>2728+408+975.3</f>
        <v>4111.3</v>
      </c>
      <c r="F26" s="13">
        <f>D26-E26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36" customHeight="1">
      <c r="A27" s="5">
        <v>21</v>
      </c>
      <c r="B27" s="21" t="s">
        <v>45</v>
      </c>
      <c r="C27" s="22"/>
      <c r="D27" s="12">
        <v>31558.37</v>
      </c>
      <c r="E27" s="13">
        <f>3129+20943.37+7486</f>
        <v>31558.37</v>
      </c>
      <c r="F27" s="13">
        <f>D27-E27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36" customHeight="1">
      <c r="A28" s="5">
        <v>22</v>
      </c>
      <c r="B28" s="21" t="s">
        <v>46</v>
      </c>
      <c r="C28" s="22"/>
      <c r="D28" s="12"/>
      <c r="E28" s="13">
        <f>698.92+529.6+474+455+35+6727+125.12</f>
        <v>9044.640000000001</v>
      </c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38.25" customHeight="1">
      <c r="A29" s="5">
        <v>23</v>
      </c>
      <c r="B29" s="21" t="s">
        <v>51</v>
      </c>
      <c r="C29" s="22"/>
      <c r="D29" s="12">
        <f>26000+31200+37856</f>
        <v>95056</v>
      </c>
      <c r="E29" s="13">
        <f>26000+31200+37856</f>
        <v>95056</v>
      </c>
      <c r="F29" s="13">
        <f aca="true" t="shared" si="1" ref="F29:F34">D29-E29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36" customHeight="1">
      <c r="A30" s="5">
        <v>24</v>
      </c>
      <c r="B30" s="21" t="s">
        <v>47</v>
      </c>
      <c r="C30" s="22"/>
      <c r="D30" s="12">
        <f>200154.5+200154.5+12000</f>
        <v>412309</v>
      </c>
      <c r="E30" s="13">
        <f>200154.5+200154.5+12000</f>
        <v>412309</v>
      </c>
      <c r="F30" s="13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36" customHeight="1">
      <c r="A31" s="5">
        <v>25</v>
      </c>
      <c r="B31" s="21" t="s">
        <v>49</v>
      </c>
      <c r="C31" s="22"/>
      <c r="D31" s="12">
        <v>96358.97</v>
      </c>
      <c r="E31" s="13">
        <v>96358.97</v>
      </c>
      <c r="F31" s="13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26.25" customHeight="1">
      <c r="A32" s="5">
        <v>26</v>
      </c>
      <c r="B32" s="21" t="s">
        <v>53</v>
      </c>
      <c r="C32" s="22"/>
      <c r="D32" s="12">
        <v>320000</v>
      </c>
      <c r="E32" s="13">
        <v>160000</v>
      </c>
      <c r="F32" s="13">
        <f t="shared" si="1"/>
        <v>160000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26.25" customHeight="1">
      <c r="A33" s="5">
        <v>27</v>
      </c>
      <c r="B33" s="21" t="s">
        <v>54</v>
      </c>
      <c r="C33" s="22"/>
      <c r="D33" s="12">
        <f>2784.84+50118.71</f>
        <v>52903.55</v>
      </c>
      <c r="E33" s="13">
        <v>48000</v>
      </c>
      <c r="F33" s="13">
        <f t="shared" si="1"/>
        <v>4903.550000000003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26.25" customHeight="1">
      <c r="A34" s="5">
        <v>28</v>
      </c>
      <c r="B34" s="31" t="s">
        <v>59</v>
      </c>
      <c r="C34" s="6"/>
      <c r="D34" s="12">
        <v>76002.58</v>
      </c>
      <c r="E34" s="13">
        <v>76002.58</v>
      </c>
      <c r="F34" s="13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2.75">
      <c r="A35" s="5">
        <v>29</v>
      </c>
      <c r="B35" s="21" t="s">
        <v>38</v>
      </c>
      <c r="C35" s="22"/>
      <c r="D35" s="12"/>
      <c r="E35" s="13">
        <v>7451.71</v>
      </c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12.75">
      <c r="A36" s="5">
        <v>30</v>
      </c>
      <c r="B36" s="21" t="s">
        <v>36</v>
      </c>
      <c r="C36" s="22"/>
      <c r="D36" s="12"/>
      <c r="E36" s="13">
        <v>358.8</v>
      </c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12.75">
      <c r="A37" s="5">
        <v>31</v>
      </c>
      <c r="B37" s="21" t="s">
        <v>35</v>
      </c>
      <c r="C37" s="22"/>
      <c r="D37" s="12"/>
      <c r="E37" s="13">
        <v>162</v>
      </c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12.75">
      <c r="A38" s="5">
        <v>32</v>
      </c>
      <c r="B38" s="21" t="s">
        <v>18</v>
      </c>
      <c r="C38" s="22"/>
      <c r="D38" s="12"/>
      <c r="E38" s="13">
        <v>279.9</v>
      </c>
      <c r="F38" s="13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26.25" customHeight="1">
      <c r="A39" s="5">
        <v>33</v>
      </c>
      <c r="B39" s="21" t="s">
        <v>62</v>
      </c>
      <c r="C39" s="22"/>
      <c r="D39" s="12"/>
      <c r="E39" s="13">
        <v>1372.79</v>
      </c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26.25" customHeight="1">
      <c r="A40" s="5">
        <v>34</v>
      </c>
      <c r="B40" s="21" t="s">
        <v>61</v>
      </c>
      <c r="C40" s="22"/>
      <c r="D40" s="12"/>
      <c r="E40" s="13">
        <f>225.74+332+713.3</f>
        <v>1271.04</v>
      </c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26.25" customHeight="1">
      <c r="A41" s="5">
        <v>35</v>
      </c>
      <c r="B41" s="21" t="s">
        <v>60</v>
      </c>
      <c r="C41" s="22"/>
      <c r="D41" s="12"/>
      <c r="E41" s="13">
        <f>1544.68+1742.94+144.55+720.82+908.96+1821.6+561.45+553+840.14+498+995.92+358.8+642.16+71.9+242.51+269.56</f>
        <v>11916.989999999998</v>
      </c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ht="26.25" customHeight="1">
      <c r="A42" s="5">
        <v>36</v>
      </c>
      <c r="B42" s="31" t="s">
        <v>63</v>
      </c>
      <c r="C42" s="22"/>
      <c r="D42" s="12"/>
      <c r="E42" s="13">
        <f>233.06+1444.91+1771.18+185.4+1717.86</f>
        <v>5352.41</v>
      </c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26.25" customHeight="1">
      <c r="A43" s="5">
        <v>37</v>
      </c>
      <c r="B43" s="21" t="s">
        <v>65</v>
      </c>
      <c r="C43" s="22"/>
      <c r="D43" s="12">
        <v>2800</v>
      </c>
      <c r="E43" s="13">
        <v>2800</v>
      </c>
      <c r="F43" s="13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26.25" customHeight="1">
      <c r="A44" s="5">
        <v>38</v>
      </c>
      <c r="B44" s="21" t="s">
        <v>67</v>
      </c>
      <c r="C44" s="22"/>
      <c r="D44" s="12">
        <f>158865+33140+130500</f>
        <v>322505</v>
      </c>
      <c r="E44" s="13">
        <f>100000+58865+33140+130500</f>
        <v>322505</v>
      </c>
      <c r="F44" s="13">
        <f>D44-E44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ht="26.25" customHeight="1">
      <c r="A45" s="5">
        <v>39</v>
      </c>
      <c r="B45" s="23" t="s">
        <v>69</v>
      </c>
      <c r="C45" s="22"/>
      <c r="D45" s="12">
        <v>89680</v>
      </c>
      <c r="E45" s="13">
        <v>89680</v>
      </c>
      <c r="F45" s="13">
        <f>D45-E45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ht="26.25" customHeight="1">
      <c r="A46" s="5">
        <v>40</v>
      </c>
      <c r="B46" s="21" t="s">
        <v>72</v>
      </c>
      <c r="C46" s="22"/>
      <c r="D46" s="12"/>
      <c r="E46" s="13">
        <v>36403</v>
      </c>
      <c r="F46" s="13"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ht="26.25" customHeight="1">
      <c r="A47" s="5">
        <v>41</v>
      </c>
      <c r="B47" s="35" t="s">
        <v>79</v>
      </c>
      <c r="C47" s="22"/>
      <c r="D47" s="12"/>
      <c r="E47" s="13">
        <v>34107.95</v>
      </c>
      <c r="F47" s="13"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ht="26.25" customHeight="1">
      <c r="A48" s="5">
        <v>42</v>
      </c>
      <c r="B48" s="28" t="s">
        <v>77</v>
      </c>
      <c r="C48" s="36"/>
      <c r="D48" s="12"/>
      <c r="E48" s="13">
        <v>0.32</v>
      </c>
      <c r="F48" s="13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26.25" customHeight="1">
      <c r="A49" s="5">
        <v>43</v>
      </c>
      <c r="B49" s="54" t="s">
        <v>155</v>
      </c>
      <c r="C49" s="36"/>
      <c r="D49" s="12">
        <v>81519.8</v>
      </c>
      <c r="E49" s="13">
        <v>81519.8</v>
      </c>
      <c r="F49" s="13">
        <f>D49-E49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38.25" customHeight="1">
      <c r="A50" s="4">
        <v>44</v>
      </c>
      <c r="B50" s="37" t="s">
        <v>81</v>
      </c>
      <c r="C50" s="22"/>
      <c r="D50" s="12">
        <f>1165900</f>
        <v>1165900</v>
      </c>
      <c r="E50" s="13">
        <f>748000</f>
        <v>748000</v>
      </c>
      <c r="F50" s="13">
        <f>D50-E50</f>
        <v>417900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ht="26.25" customHeight="1">
      <c r="A51" s="5">
        <v>45</v>
      </c>
      <c r="B51" s="21" t="s">
        <v>68</v>
      </c>
      <c r="C51" s="22"/>
      <c r="D51" s="12">
        <v>118660</v>
      </c>
      <c r="E51" s="13">
        <f>66480+52180</f>
        <v>118660</v>
      </c>
      <c r="F51" s="13">
        <f>D51-E51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ht="26.25" customHeight="1">
      <c r="A52" s="5">
        <v>46</v>
      </c>
      <c r="B52" s="28" t="s">
        <v>78</v>
      </c>
      <c r="C52" s="22"/>
      <c r="D52" s="12"/>
      <c r="E52" s="13">
        <v>74580</v>
      </c>
      <c r="F52" s="13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29.25" customHeight="1">
      <c r="A53" s="5"/>
      <c r="B53" s="35"/>
      <c r="C53" s="36"/>
      <c r="D53" s="12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44.25" customHeight="1">
      <c r="A54" s="77" t="s">
        <v>80</v>
      </c>
      <c r="B54" s="80"/>
      <c r="C54" s="80"/>
      <c r="D54" s="80"/>
      <c r="E54" s="80"/>
      <c r="F54" s="8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26.25" customHeight="1">
      <c r="A55" s="5"/>
      <c r="B55" s="33" t="s">
        <v>74</v>
      </c>
      <c r="C55" s="34">
        <f>7348301.99+7197013.17</f>
        <v>14545315.16</v>
      </c>
      <c r="D55" s="12"/>
      <c r="E55" s="13">
        <f>E61+E60+E59+E58+E57+E56</f>
        <v>14545315.16</v>
      </c>
      <c r="F55" s="13">
        <f>C55-E55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36" customHeight="1">
      <c r="A56" s="5">
        <v>1</v>
      </c>
      <c r="B56" s="21" t="s">
        <v>76</v>
      </c>
      <c r="C56" s="32">
        <v>12911000</v>
      </c>
      <c r="D56" s="12">
        <v>8538424.82</v>
      </c>
      <c r="E56" s="13">
        <f>980000+462556.64+7095868.18</f>
        <v>8538424.82</v>
      </c>
      <c r="F56" s="13">
        <f>D56-E56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26.25" customHeight="1">
      <c r="A57" s="5">
        <v>2</v>
      </c>
      <c r="B57" s="28" t="s">
        <v>77</v>
      </c>
      <c r="C57" s="22"/>
      <c r="D57" s="12">
        <v>4160236.32</v>
      </c>
      <c r="E57" s="13">
        <v>4160236</v>
      </c>
      <c r="F57" s="13">
        <f>D57-E57</f>
        <v>0.31999999983236194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ht="26.25" customHeight="1">
      <c r="A58" s="5">
        <v>3</v>
      </c>
      <c r="B58" s="21" t="s">
        <v>52</v>
      </c>
      <c r="C58" s="22"/>
      <c r="D58" s="12">
        <v>968000</v>
      </c>
      <c r="E58" s="13">
        <f>500000+468000</f>
        <v>968000</v>
      </c>
      <c r="F58" s="13">
        <f>D58-E58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ht="26.25" customHeight="1">
      <c r="A59" s="5">
        <v>4</v>
      </c>
      <c r="B59" s="21" t="s">
        <v>56</v>
      </c>
      <c r="C59" s="6"/>
      <c r="D59" s="12">
        <v>777509.35</v>
      </c>
      <c r="E59" s="13">
        <v>777509.35</v>
      </c>
      <c r="F59" s="13">
        <f>D59-E59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25.5">
      <c r="A60" s="5">
        <v>5</v>
      </c>
      <c r="B60" s="21" t="s">
        <v>70</v>
      </c>
      <c r="C60" s="22"/>
      <c r="D60" s="12">
        <v>47632.9</v>
      </c>
      <c r="E60" s="13">
        <v>47632.9</v>
      </c>
      <c r="F60" s="13"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12.75">
      <c r="A61" s="5">
        <v>6</v>
      </c>
      <c r="B61" s="21" t="s">
        <v>71</v>
      </c>
      <c r="C61" s="22"/>
      <c r="D61" s="12">
        <v>53512.09</v>
      </c>
      <c r="E61" s="13">
        <v>53512.09</v>
      </c>
      <c r="F61" s="13"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ht="12.75">
      <c r="A62" s="5"/>
      <c r="B62" s="21"/>
      <c r="C62" s="22"/>
      <c r="D62" s="12"/>
      <c r="E62" s="13"/>
      <c r="F62" s="1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12.75">
      <c r="A63" s="5"/>
      <c r="B63" s="21"/>
      <c r="C63" s="22"/>
      <c r="D63" s="12"/>
      <c r="E63" s="13"/>
      <c r="F63" s="1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12.75">
      <c r="A64" s="5"/>
      <c r="B64" s="28"/>
      <c r="C64" s="22"/>
      <c r="D64" s="12"/>
      <c r="E64" s="13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ht="26.25" customHeight="1">
      <c r="A65" s="77" t="s">
        <v>7</v>
      </c>
      <c r="B65" s="78"/>
      <c r="C65" s="78"/>
      <c r="D65" s="78"/>
      <c r="E65" s="78"/>
      <c r="F65" s="7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9" s="30" customFormat="1" ht="35.25" customHeight="1">
      <c r="A66" s="7" t="s">
        <v>0</v>
      </c>
      <c r="B66" s="24" t="s">
        <v>1</v>
      </c>
      <c r="C66" s="25"/>
      <c r="D66" s="9" t="s">
        <v>5</v>
      </c>
      <c r="E66" s="8" t="s">
        <v>2</v>
      </c>
      <c r="F66" s="10" t="s">
        <v>3</v>
      </c>
      <c r="G66" s="1"/>
      <c r="H66" s="1"/>
      <c r="I66" s="1"/>
    </row>
    <row r="67" spans="1:167" ht="30" customHeight="1">
      <c r="A67" s="90" t="s">
        <v>6</v>
      </c>
      <c r="B67" s="91"/>
      <c r="C67" s="11">
        <f>289426.06+4984+40+1186+850+10+73.16-2790-2790-1488</f>
        <v>289501.22</v>
      </c>
      <c r="D67" s="11"/>
      <c r="E67" s="11">
        <f>SUM(E68:E82)</f>
        <v>128744.11</v>
      </c>
      <c r="F67" s="11">
        <f>C67-E67</f>
        <v>160757.11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ht="52.5" customHeight="1">
      <c r="A68" s="4">
        <v>1</v>
      </c>
      <c r="B68" s="21" t="s">
        <v>10</v>
      </c>
      <c r="C68" s="22"/>
      <c r="D68" s="12"/>
      <c r="E68" s="13">
        <f>130+4000+750+300+1200</f>
        <v>6380</v>
      </c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72.75" customHeight="1">
      <c r="A69" s="4">
        <v>2</v>
      </c>
      <c r="B69" s="21" t="s">
        <v>13</v>
      </c>
      <c r="C69" s="22"/>
      <c r="D69" s="12"/>
      <c r="E69" s="13">
        <f>1387+327</f>
        <v>1714</v>
      </c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ht="30" customHeight="1">
      <c r="A70" s="4">
        <v>3</v>
      </c>
      <c r="B70" s="21" t="s">
        <v>11</v>
      </c>
      <c r="C70" s="22"/>
      <c r="D70" s="12">
        <f>79615+21730</f>
        <v>101345</v>
      </c>
      <c r="E70" s="13">
        <f>59615+20000+13730+8000</f>
        <v>101345</v>
      </c>
      <c r="F70" s="13">
        <f>D70-E70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60.75" customHeight="1">
      <c r="A71" s="4">
        <v>4</v>
      </c>
      <c r="B71" s="21" t="s">
        <v>33</v>
      </c>
      <c r="C71" s="22"/>
      <c r="D71" s="12"/>
      <c r="E71" s="13">
        <f>8470+30+190+30+20+30+60+30+300+300+10+30+90+90+10+30+20+30+30+10+60+90+10+160+10+30+60+90+30+300+300+350+20+30+60+50+160+170+50+300+300+90+40+30+260+195+60+70+60+300+300+30+20+60+40</f>
        <v>13995</v>
      </c>
      <c r="F71" s="1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51">
      <c r="A72" s="4">
        <v>5</v>
      </c>
      <c r="B72" s="21" t="s">
        <v>27</v>
      </c>
      <c r="C72" s="22"/>
      <c r="D72" s="12">
        <v>1050</v>
      </c>
      <c r="E72" s="13">
        <v>1050</v>
      </c>
      <c r="F72" s="13">
        <f>D72-E72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12.75">
      <c r="A73" s="4">
        <v>6</v>
      </c>
      <c r="B73" s="21" t="s">
        <v>28</v>
      </c>
      <c r="C73" s="22"/>
      <c r="D73" s="12"/>
      <c r="E73" s="13">
        <f>6.99+20.21+65.77+162.32+226.21</f>
        <v>481.5</v>
      </c>
      <c r="F73" s="1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12.75">
      <c r="A74" s="4">
        <v>7</v>
      </c>
      <c r="B74" s="21" t="s">
        <v>17</v>
      </c>
      <c r="C74" s="22"/>
      <c r="D74" s="12"/>
      <c r="E74" s="13">
        <v>1650</v>
      </c>
      <c r="F74" s="13"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12.75">
      <c r="A75" s="4">
        <v>8</v>
      </c>
      <c r="B75" s="21" t="s">
        <v>20</v>
      </c>
      <c r="C75" s="22"/>
      <c r="D75" s="12"/>
      <c r="E75" s="13">
        <f>600+200</f>
        <v>800</v>
      </c>
      <c r="F75" s="13"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12.75">
      <c r="A76" s="4">
        <v>9</v>
      </c>
      <c r="B76" s="21" t="s">
        <v>57</v>
      </c>
      <c r="C76" s="22"/>
      <c r="D76" s="12"/>
      <c r="E76" s="13">
        <v>481.11</v>
      </c>
      <c r="F76" s="13"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12.75">
      <c r="A77" s="4">
        <v>10</v>
      </c>
      <c r="B77" s="21" t="s">
        <v>21</v>
      </c>
      <c r="C77" s="22"/>
      <c r="D77" s="12"/>
      <c r="E77" s="13">
        <v>400</v>
      </c>
      <c r="F77" s="13"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ht="12.75">
      <c r="A78" s="4">
        <v>11</v>
      </c>
      <c r="B78" s="21" t="s">
        <v>37</v>
      </c>
      <c r="C78" s="22"/>
      <c r="D78" s="12"/>
      <c r="E78" s="13">
        <v>250</v>
      </c>
      <c r="F78" s="1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12.75">
      <c r="A79" s="4">
        <v>12</v>
      </c>
      <c r="B79" s="21" t="s">
        <v>22</v>
      </c>
      <c r="C79" s="22"/>
      <c r="D79" s="12"/>
      <c r="E79" s="13">
        <v>197.5</v>
      </c>
      <c r="F79" s="13"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ht="12.75">
      <c r="A80" s="4"/>
      <c r="B80" s="21"/>
      <c r="C80" s="22"/>
      <c r="D80" s="12"/>
      <c r="E80" s="13"/>
      <c r="F80" s="1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ht="12.75">
      <c r="A81" s="4"/>
      <c r="B81" s="21"/>
      <c r="C81" s="22"/>
      <c r="D81" s="12"/>
      <c r="E81" s="13"/>
      <c r="F81" s="1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ht="12.75">
      <c r="A82" s="4"/>
      <c r="B82" s="21"/>
      <c r="C82" s="22"/>
      <c r="D82" s="12"/>
      <c r="E82" s="13"/>
      <c r="F82" s="1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ht="12.75">
      <c r="A83" s="15"/>
      <c r="B83" s="16"/>
      <c r="C83" s="16"/>
      <c r="D83" s="17"/>
      <c r="E83" s="18"/>
      <c r="F83" s="1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ht="12.75">
      <c r="A84" s="6"/>
      <c r="B84" s="6"/>
      <c r="C84" s="6"/>
      <c r="D84" s="6"/>
      <c r="E84" s="29"/>
      <c r="F84" s="2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ht="30.75" customHeight="1">
      <c r="A85" s="77" t="s">
        <v>8</v>
      </c>
      <c r="B85" s="78"/>
      <c r="C85" s="78"/>
      <c r="D85" s="78"/>
      <c r="E85" s="78"/>
      <c r="F85" s="7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ht="26.25" customHeight="1">
      <c r="A86" s="7" t="s">
        <v>0</v>
      </c>
      <c r="B86" s="24" t="s">
        <v>1</v>
      </c>
      <c r="C86" s="25"/>
      <c r="D86" s="9" t="s">
        <v>5</v>
      </c>
      <c r="E86" s="8" t="s">
        <v>2</v>
      </c>
      <c r="F86" s="10" t="s">
        <v>3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ht="26.25" customHeight="1">
      <c r="A87" s="90" t="s">
        <v>6</v>
      </c>
      <c r="B87" s="91"/>
      <c r="C87" s="11">
        <f>772738.94+23626+952+4744+3400+40+9664+887.3+1488</f>
        <v>817540.24</v>
      </c>
      <c r="D87" s="11"/>
      <c r="E87" s="11">
        <f>SUM(E88:E93)</f>
        <v>954238</v>
      </c>
      <c r="F87" s="11">
        <f>C87-E87</f>
        <v>-136697.76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1:167" ht="26.25" customHeight="1">
      <c r="A88" s="4">
        <v>1</v>
      </c>
      <c r="B88" s="23" t="s">
        <v>41</v>
      </c>
      <c r="C88" s="22"/>
      <c r="D88" s="12" t="s">
        <v>14</v>
      </c>
      <c r="E88" s="13">
        <f>2400+720+2400+2400+2400+2400+960</f>
        <v>13680</v>
      </c>
      <c r="F88" s="1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1:167" ht="26.25" customHeight="1">
      <c r="A89" s="4">
        <v>2</v>
      </c>
      <c r="B89" s="21" t="s">
        <v>25</v>
      </c>
      <c r="C89" s="22"/>
      <c r="D89" s="12"/>
      <c r="E89" s="13">
        <f>48410.12+18006.6+2691+6438.52+31046.4+3229+9903.68+11704.44+13453.44</f>
        <v>144883.2</v>
      </c>
      <c r="F89" s="1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9" s="30" customFormat="1" ht="42" customHeight="1">
      <c r="A90" s="4">
        <v>3</v>
      </c>
      <c r="B90" s="21" t="s">
        <v>26</v>
      </c>
      <c r="C90" s="22"/>
      <c r="D90" s="12"/>
      <c r="E90" s="13">
        <f>109280+34420+12441+10004.99+3354+6120+4938.2+27353+34048.78+5831+7499+12441+19080.48+2308.85+7500+12441+3324+4475+7499+10005+12441+5000+34419.99+4475+7499+10005+12441+12441+10005+7499+4475+34421+28070.27</f>
        <v>517556.55999999994</v>
      </c>
      <c r="F90" s="13"/>
      <c r="G90" s="1"/>
      <c r="H90" s="1"/>
      <c r="I90" s="1"/>
    </row>
    <row r="91" spans="1:167" ht="16.5" customHeight="1">
      <c r="A91" s="4">
        <v>4</v>
      </c>
      <c r="B91" s="21" t="s">
        <v>16</v>
      </c>
      <c r="C91" s="22"/>
      <c r="D91" s="12"/>
      <c r="E91" s="13">
        <f>52210.75+9655.43+22545.72+33198.71+19.29+140.85+1876.65+1905.25+2042.33+2953.15+22891.59+23543.04+4184+23543.04-0.11</f>
        <v>200709.69</v>
      </c>
      <c r="F91" s="1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1:167" ht="16.5" customHeight="1">
      <c r="A92" s="4">
        <v>5</v>
      </c>
      <c r="B92" s="21" t="s">
        <v>15</v>
      </c>
      <c r="C92" s="22"/>
      <c r="D92" s="12"/>
      <c r="E92" s="13">
        <f>4624.3+119+1183.5+591.75+170</f>
        <v>6688.55</v>
      </c>
      <c r="F92" s="13"/>
      <c r="G92" s="1"/>
      <c r="H92" s="20">
        <v>4562427.13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ht="12.75">
      <c r="A93" s="4">
        <v>6</v>
      </c>
      <c r="B93" s="21" t="s">
        <v>64</v>
      </c>
      <c r="C93" s="22"/>
      <c r="D93" s="12"/>
      <c r="E93" s="13">
        <f>9520+61200</f>
        <v>70720</v>
      </c>
      <c r="F93" s="13"/>
      <c r="G93" s="1"/>
      <c r="H93" s="20">
        <v>349210.1</v>
      </c>
      <c r="I93" s="1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1:167" ht="12.75">
      <c r="A94" s="15"/>
      <c r="B94" s="16"/>
      <c r="C94" s="16"/>
      <c r="D94" s="17"/>
      <c r="E94" s="18"/>
      <c r="F94" s="18"/>
      <c r="G94" s="1"/>
      <c r="H94" s="1">
        <v>10500.76</v>
      </c>
      <c r="I94" s="19">
        <f>H92+H94-H93</f>
        <v>4223717.79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ht="12.75">
      <c r="A95" s="15"/>
      <c r="B95" s="16"/>
      <c r="C95" s="16"/>
      <c r="D95" s="17"/>
      <c r="E95" s="18"/>
      <c r="F95" s="18"/>
      <c r="G95" s="1"/>
      <c r="H95" s="1"/>
      <c r="I95" s="19">
        <f>F97-I94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7:167" ht="12.7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ht="12.75">
      <c r="A97" s="93" t="s">
        <v>9</v>
      </c>
      <c r="B97" s="93"/>
      <c r="C97" s="14">
        <f>C87+C67+C5+C6+C55</f>
        <v>47441704.1</v>
      </c>
      <c r="D97" s="3"/>
      <c r="E97" s="14">
        <f>E5+E67+E87+E55</f>
        <v>43217986.309999995</v>
      </c>
      <c r="F97" s="14">
        <f>C97-E97</f>
        <v>4223717.790000007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7:167" ht="12.7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7:167" ht="12.7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7:167" ht="12.7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7:167" ht="12.7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7:167" ht="12.7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7:167" ht="12.7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7:167" ht="12.7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7:167" ht="12.7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7:167" ht="12.7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7:167" ht="12.7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7:167" ht="12.7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7:167" ht="12.7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7:167" ht="12.7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7:167" ht="12.7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7:167" ht="12.7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7:167" ht="12.7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7:167" ht="12.7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7:167" ht="12.7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7:167" ht="12.7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7:167" ht="12.7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7:167" ht="12.7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7:167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7:167" ht="12.7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7:167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7:167" ht="12.7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7:167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7:167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7:167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7:167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7:167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7:167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7:167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7:167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7:167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7:167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7:167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7:167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7:167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7:167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7:167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7:167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7:167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7:167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7:167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7:167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7:167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7:167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7:167" ht="12.7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7:167" ht="12.7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7:167" ht="12.7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7:167" ht="12.7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7:167" ht="12.7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7:167" ht="12.7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7:167" ht="12.7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7:167" ht="12.7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7:167" ht="12.7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7:167" ht="12.7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7:167" ht="12.7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7:167" ht="12.7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  <row r="157" spans="7:167" ht="12.7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</row>
    <row r="158" spans="7:167" ht="12.7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</row>
    <row r="159" spans="7:167" ht="12.7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</row>
    <row r="160" spans="7:167" ht="12.7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</row>
    <row r="161" spans="7:167" ht="12.7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7:167" ht="12.7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</row>
    <row r="163" spans="7:167" ht="12.7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</row>
    <row r="164" spans="7:167" ht="12.7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</row>
    <row r="165" spans="7:167" ht="12.7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</row>
    <row r="166" spans="7:167" ht="12.7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</row>
    <row r="167" spans="7:167" ht="12.7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</row>
    <row r="168" spans="7:167" ht="12.7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</row>
    <row r="169" spans="7:167" ht="12.7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</row>
    <row r="170" spans="7:167" ht="12.7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</row>
    <row r="171" spans="7:167" ht="12.7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</row>
    <row r="172" spans="7:167" ht="12.7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</row>
    <row r="173" spans="7:167" ht="12.7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</row>
    <row r="174" spans="7:167" ht="12.7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</row>
    <row r="175" spans="7:167" ht="12.7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</row>
    <row r="176" spans="7:167" ht="12.7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</row>
    <row r="177" spans="7:167" ht="12.7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</row>
    <row r="178" spans="7:167" ht="12.7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</row>
    <row r="179" spans="7:167" ht="12.7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</row>
    <row r="180" spans="7:167" ht="12.7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</row>
    <row r="181" spans="7:167" ht="12.7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</row>
    <row r="182" spans="7:167" ht="12.7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</row>
    <row r="183" spans="7:167" ht="12.7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</row>
    <row r="184" spans="7:167" ht="12.7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</row>
    <row r="185" spans="7:167" ht="12.7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</row>
    <row r="186" spans="7:167" ht="12.7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</row>
    <row r="187" spans="7:167" ht="12.7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</row>
    <row r="188" spans="7:167" ht="12.7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</row>
    <row r="189" spans="7:167" ht="12.7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</row>
    <row r="190" spans="7:167" ht="12.7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</row>
    <row r="191" spans="7:167" ht="12.7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</row>
    <row r="192" spans="7:167" ht="12.7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</row>
    <row r="193" spans="7:167" ht="12.7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</row>
    <row r="194" spans="7:167" ht="12.7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</row>
    <row r="195" spans="7:167" ht="12.7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</row>
    <row r="196" spans="7:167" ht="12.7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</row>
    <row r="197" spans="7:167" ht="12.7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</row>
    <row r="198" spans="7:167" ht="12.7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</row>
    <row r="199" spans="7:167" ht="12.75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</row>
    <row r="200" spans="7:167" ht="12.75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</row>
    <row r="201" spans="7:167" ht="12.75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</row>
    <row r="202" spans="7:167" ht="12.75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</row>
    <row r="203" spans="7:167" ht="12.75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</row>
    <row r="204" spans="7:167" ht="12.75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</row>
    <row r="205" spans="7:167" ht="12.75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</row>
    <row r="206" spans="7:167" ht="12.75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</row>
    <row r="207" spans="7:167" ht="12.75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</row>
    <row r="208" spans="7:167" ht="12.75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</row>
    <row r="209" spans="7:167" ht="12.75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</row>
    <row r="210" spans="7:167" ht="12.75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</row>
    <row r="211" spans="7:167" ht="12.75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</row>
    <row r="212" spans="7:167" ht="12.75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</row>
    <row r="213" spans="7:167" ht="12.75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</row>
    <row r="214" spans="7:167" ht="12.75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</row>
    <row r="215" spans="7:167" ht="12.75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</row>
    <row r="216" spans="7:167" ht="12.75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</row>
    <row r="217" spans="7:167" ht="12.75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</row>
    <row r="218" spans="7:167" ht="12.75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</row>
    <row r="219" spans="7:167" ht="12.75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</row>
    <row r="220" spans="7:167" ht="12.75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</row>
    <row r="221" spans="7:167" ht="12.75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</row>
    <row r="222" spans="7:167" ht="12.75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</row>
    <row r="223" spans="7:167" ht="12.75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</row>
    <row r="224" spans="7:167" ht="12.75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</row>
    <row r="225" spans="7:167" ht="12.75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</row>
    <row r="226" spans="7:167" ht="12.75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</row>
    <row r="227" spans="7:167" ht="12.75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</row>
  </sheetData>
  <sheetProtection/>
  <mergeCells count="14">
    <mergeCell ref="A97:B97"/>
    <mergeCell ref="A1:F1"/>
    <mergeCell ref="A3:F3"/>
    <mergeCell ref="B4:C4"/>
    <mergeCell ref="A87:B87"/>
    <mergeCell ref="A85:F85"/>
    <mergeCell ref="A65:F65"/>
    <mergeCell ref="A54:F54"/>
    <mergeCell ref="A5:B6"/>
    <mergeCell ref="C5:C6"/>
    <mergeCell ref="D5:D6"/>
    <mergeCell ref="A67:B67"/>
    <mergeCell ref="E5:E6"/>
    <mergeCell ref="F5:F6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223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4.28125" style="2" customWidth="1"/>
    <col min="2" max="2" width="59.28125" style="2" customWidth="1"/>
    <col min="3" max="3" width="39.57421875" style="0" customWidth="1"/>
    <col min="4" max="4" width="11.28125" style="0" customWidth="1"/>
    <col min="5" max="5" width="11.57421875" style="0" bestFit="1" customWidth="1"/>
    <col min="6" max="6" width="16.00390625" style="0" customWidth="1"/>
  </cols>
  <sheetData>
    <row r="1" spans="1:3" ht="51.75" customHeight="1">
      <c r="A1" s="101" t="s">
        <v>154</v>
      </c>
      <c r="B1" s="101"/>
      <c r="C1" s="101"/>
    </row>
    <row r="2" ht="12.75" hidden="1"/>
    <row r="3" spans="1:4" ht="25.5" customHeight="1">
      <c r="A3" s="38">
        <v>1</v>
      </c>
      <c r="B3" s="98" t="s">
        <v>84</v>
      </c>
      <c r="C3" s="98"/>
      <c r="D3" s="1"/>
    </row>
    <row r="4" spans="1:4" ht="25.5" customHeight="1">
      <c r="A4" s="99" t="s">
        <v>88</v>
      </c>
      <c r="B4" s="99"/>
      <c r="C4" s="49">
        <v>32137309.68</v>
      </c>
      <c r="D4" s="1"/>
    </row>
    <row r="5" spans="1:4" ht="25.5" customHeight="1">
      <c r="A5" s="38"/>
      <c r="B5" s="98" t="s">
        <v>89</v>
      </c>
      <c r="C5" s="98"/>
      <c r="D5" s="1"/>
    </row>
    <row r="6" spans="1:4" ht="25.5" customHeight="1">
      <c r="A6" s="103" t="s">
        <v>97</v>
      </c>
      <c r="B6" s="104"/>
      <c r="C6" s="102">
        <f>SUM(C8:C44)</f>
        <v>27589689.04</v>
      </c>
      <c r="D6" s="1"/>
    </row>
    <row r="7" spans="1:4" ht="0.75" customHeight="1">
      <c r="A7" s="105"/>
      <c r="B7" s="105"/>
      <c r="C7" s="102"/>
      <c r="D7" s="1"/>
    </row>
    <row r="8" spans="1:4" ht="26.25" customHeight="1">
      <c r="A8" s="7"/>
      <c r="B8" s="24" t="s">
        <v>87</v>
      </c>
      <c r="C8" s="8" t="s">
        <v>85</v>
      </c>
      <c r="D8" s="1"/>
    </row>
    <row r="9" spans="1:4" ht="38.25">
      <c r="A9" s="27">
        <v>1</v>
      </c>
      <c r="B9" s="40" t="s">
        <v>112</v>
      </c>
      <c r="C9" s="13">
        <v>100000</v>
      </c>
      <c r="D9" s="1"/>
    </row>
    <row r="10" spans="1:6" s="30" customFormat="1" ht="102">
      <c r="A10" s="27">
        <v>2</v>
      </c>
      <c r="B10" s="39" t="s">
        <v>113</v>
      </c>
      <c r="C10" s="13">
        <f>495600+67300+106751.18+244655.21+183192.61+31450+124551+312331+198000</f>
        <v>1763831</v>
      </c>
      <c r="D10" s="1"/>
      <c r="E10" s="1"/>
      <c r="F10" s="1"/>
    </row>
    <row r="11" spans="1:6" s="30" customFormat="1" ht="19.5" customHeight="1">
      <c r="A11" s="53">
        <v>3</v>
      </c>
      <c r="B11" s="40" t="s">
        <v>114</v>
      </c>
      <c r="C11" s="13">
        <v>82400</v>
      </c>
      <c r="D11" s="1"/>
      <c r="E11" s="1"/>
      <c r="F11" s="1"/>
    </row>
    <row r="12" spans="1:6" s="30" customFormat="1" ht="21.75" customHeight="1">
      <c r="A12" s="53">
        <v>4</v>
      </c>
      <c r="B12" s="40" t="s">
        <v>115</v>
      </c>
      <c r="C12" s="13">
        <v>38000</v>
      </c>
      <c r="D12" s="1"/>
      <c r="E12" s="1"/>
      <c r="F12" s="1"/>
    </row>
    <row r="13" spans="1:4" ht="63.75">
      <c r="A13" s="27">
        <v>5</v>
      </c>
      <c r="B13" s="41" t="s">
        <v>116</v>
      </c>
      <c r="C13" s="13">
        <f>490000+219606+251205+140000+65560+210000+100000+100000+100000+100000</f>
        <v>1776371</v>
      </c>
      <c r="D13" s="1"/>
    </row>
    <row r="14" spans="1:4" ht="30.75" customHeight="1">
      <c r="A14" s="27">
        <v>6</v>
      </c>
      <c r="B14" s="39" t="s">
        <v>117</v>
      </c>
      <c r="C14" s="13">
        <f>748000</f>
        <v>748000</v>
      </c>
      <c r="D14" s="1"/>
    </row>
    <row r="15" spans="1:4" ht="29.25" customHeight="1">
      <c r="A15" s="53">
        <v>7</v>
      </c>
      <c r="B15" s="40" t="s">
        <v>118</v>
      </c>
      <c r="C15" s="13">
        <f>490000+490000+490000+490000+490000+490000+490000+490000+492500</f>
        <v>4412500</v>
      </c>
      <c r="D15" s="1"/>
    </row>
    <row r="16" spans="1:6" s="30" customFormat="1" ht="30" customHeight="1">
      <c r="A16" s="53">
        <v>8</v>
      </c>
      <c r="B16" s="41" t="s">
        <v>119</v>
      </c>
      <c r="C16" s="13">
        <f>490000+490000+490000+490000+490000+490000+490000+490000+490000+490000+490000+490000+490000+490000+490000+490000+262444+462883.24</f>
        <v>8565327.24</v>
      </c>
      <c r="D16" s="1"/>
      <c r="E16" s="1"/>
      <c r="F16" s="1"/>
    </row>
    <row r="17" spans="1:164" ht="26.25" customHeight="1">
      <c r="A17" s="27">
        <v>9</v>
      </c>
      <c r="B17" s="40" t="s">
        <v>120</v>
      </c>
      <c r="C17" s="13">
        <v>581635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1:164" ht="26.25" customHeight="1">
      <c r="A18" s="27">
        <v>10</v>
      </c>
      <c r="B18" s="40" t="s">
        <v>121</v>
      </c>
      <c r="C18" s="13">
        <f>150000+300000+1530463.7+500000+150000+500000+100000+1500000+261897.55+300000+1101589.59</f>
        <v>6393950.84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1:164" ht="26.25" customHeight="1">
      <c r="A19" s="27">
        <v>11</v>
      </c>
      <c r="B19" s="40" t="s">
        <v>122</v>
      </c>
      <c r="C19" s="13">
        <f>339315+30924+49627.5+273390+736</f>
        <v>693992.5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1:164" ht="26.25" customHeight="1">
      <c r="A20" s="27">
        <v>12</v>
      </c>
      <c r="B20" s="41" t="s">
        <v>123</v>
      </c>
      <c r="C20" s="13">
        <f>58500+78500</f>
        <v>137000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1:164" ht="34.5" customHeight="1">
      <c r="A21" s="27">
        <v>13</v>
      </c>
      <c r="B21" s="45" t="s">
        <v>124</v>
      </c>
      <c r="C21" s="13">
        <f>17500+17500+12600+11200+56550+92000+44300+2100</f>
        <v>253750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1:164" ht="27.75" customHeight="1">
      <c r="A22" s="27">
        <v>14</v>
      </c>
      <c r="B22" s="40" t="s">
        <v>98</v>
      </c>
      <c r="C22" s="13">
        <f>45229.5+10875+1625+408+2728.36+4862.91+690+1069.5+4486+8970+15007+15007</f>
        <v>110958.27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1:164" ht="33" customHeight="1">
      <c r="A23" s="27">
        <v>15</v>
      </c>
      <c r="B23" s="40" t="s">
        <v>125</v>
      </c>
      <c r="C23" s="13">
        <f>60299.86+110000</f>
        <v>170299.86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1:164" ht="30.75" customHeight="1">
      <c r="A24" s="27">
        <v>16</v>
      </c>
      <c r="B24" s="42" t="s">
        <v>126</v>
      </c>
      <c r="C24" s="13">
        <f>4500+3900</f>
        <v>8400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1:164" ht="30.75" customHeight="1">
      <c r="A25" s="27">
        <v>17</v>
      </c>
      <c r="B25" s="40" t="s">
        <v>127</v>
      </c>
      <c r="C25" s="13">
        <f>1196+8004+2861</f>
        <v>12061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1:164" ht="36" customHeight="1">
      <c r="A26" s="53">
        <v>18</v>
      </c>
      <c r="B26" s="40" t="s">
        <v>128</v>
      </c>
      <c r="C26" s="13">
        <f>2728+408+975.3</f>
        <v>4111.3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1:164" ht="36" customHeight="1">
      <c r="A27" s="53">
        <v>19</v>
      </c>
      <c r="B27" s="40" t="s">
        <v>129</v>
      </c>
      <c r="C27" s="13">
        <f>3129+20943.37+7486+13780.9</f>
        <v>45339.27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1:164" ht="38.25" customHeight="1">
      <c r="A28" s="53">
        <v>20</v>
      </c>
      <c r="B28" s="40" t="s">
        <v>130</v>
      </c>
      <c r="C28" s="13">
        <f>26000+31200+37856</f>
        <v>95056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1:164" ht="36" customHeight="1">
      <c r="A29" s="53">
        <v>21</v>
      </c>
      <c r="B29" s="40" t="s">
        <v>131</v>
      </c>
      <c r="C29" s="13">
        <f>200154.5+200154.5+12000</f>
        <v>412309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1:164" ht="36" customHeight="1">
      <c r="A30" s="53">
        <v>22</v>
      </c>
      <c r="B30" s="40" t="s">
        <v>132</v>
      </c>
      <c r="C30" s="13">
        <v>96358.97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1:164" ht="26.25" customHeight="1">
      <c r="A31" s="53">
        <v>23</v>
      </c>
      <c r="B31" s="40" t="s">
        <v>133</v>
      </c>
      <c r="C31" s="13">
        <v>160000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1:164" ht="26.25" customHeight="1">
      <c r="A32" s="53">
        <v>24</v>
      </c>
      <c r="B32" s="40" t="s">
        <v>134</v>
      </c>
      <c r="C32" s="13">
        <v>48000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1:164" ht="26.25" customHeight="1">
      <c r="A33" s="53">
        <v>25</v>
      </c>
      <c r="B33" s="43" t="s">
        <v>135</v>
      </c>
      <c r="C33" s="13">
        <v>76002.58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1:164" ht="26.25" customHeight="1">
      <c r="A34" s="53">
        <v>26</v>
      </c>
      <c r="B34" s="40" t="s">
        <v>136</v>
      </c>
      <c r="C34" s="13">
        <f>1544.68+1742.94+144.55+720.82+908.96+1821.6+561.45+553+840.14+498+995.92+358.8+642.16+71.9+242.51+269.56+9044.64+5089.5+1479.36+1271.04+1372.79+279.9+162+358.8+7451.71</f>
        <v>38426.73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1:164" ht="26.25" customHeight="1">
      <c r="A35" s="53">
        <v>27</v>
      </c>
      <c r="B35" s="43" t="s">
        <v>137</v>
      </c>
      <c r="C35" s="13">
        <f>233.06+1444.91+1771.18+185.4+1717.86</f>
        <v>5352.41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1:164" ht="26.25" customHeight="1">
      <c r="A36" s="53">
        <v>28</v>
      </c>
      <c r="B36" s="40" t="s">
        <v>138</v>
      </c>
      <c r="C36" s="13">
        <v>2800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1:164" ht="26.25" customHeight="1">
      <c r="A37" s="53">
        <v>29</v>
      </c>
      <c r="B37" s="40" t="s">
        <v>139</v>
      </c>
      <c r="C37" s="13">
        <f>100000+58865+33140+130500</f>
        <v>322505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1:164" ht="26.25" customHeight="1">
      <c r="A38" s="53">
        <v>30</v>
      </c>
      <c r="B38" s="41" t="s">
        <v>140</v>
      </c>
      <c r="C38" s="13">
        <v>89680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1:164" ht="26.25" customHeight="1">
      <c r="A39" s="53">
        <v>31</v>
      </c>
      <c r="B39" s="40" t="s">
        <v>141</v>
      </c>
      <c r="C39" s="13">
        <v>36403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1:164" ht="26.25" customHeight="1">
      <c r="A40" s="53">
        <v>32</v>
      </c>
      <c r="B40" s="44" t="s">
        <v>142</v>
      </c>
      <c r="C40" s="13">
        <v>34107.95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1:164" ht="26.25" customHeight="1">
      <c r="A41" s="53">
        <v>33</v>
      </c>
      <c r="B41" s="41" t="s">
        <v>143</v>
      </c>
      <c r="C41" s="13">
        <v>0.32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1:164" ht="26.25" customHeight="1">
      <c r="A42" s="53">
        <v>34</v>
      </c>
      <c r="B42" s="44" t="s">
        <v>144</v>
      </c>
      <c r="C42" s="13">
        <v>81519.8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1:164" ht="26.25" customHeight="1">
      <c r="A43" s="53">
        <v>35</v>
      </c>
      <c r="B43" s="40" t="s">
        <v>145</v>
      </c>
      <c r="C43" s="13">
        <f>66480+52180</f>
        <v>118660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:164" ht="26.25" customHeight="1">
      <c r="A44" s="53">
        <v>36</v>
      </c>
      <c r="B44" s="41" t="s">
        <v>146</v>
      </c>
      <c r="C44" s="13">
        <v>74580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1:164" ht="26.25" customHeight="1">
      <c r="A45" s="106" t="s">
        <v>99</v>
      </c>
      <c r="B45" s="106"/>
      <c r="C45" s="46">
        <f>C4-C6</f>
        <v>4547620.640000001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1:164" ht="26.25" customHeight="1">
      <c r="A46" s="109"/>
      <c r="B46" s="109"/>
      <c r="C46" s="109"/>
      <c r="D46" s="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1:164" ht="26.25" customHeight="1">
      <c r="A47" s="38">
        <v>2</v>
      </c>
      <c r="B47" s="98" t="s">
        <v>90</v>
      </c>
      <c r="C47" s="9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1:164" ht="26.25" customHeight="1">
      <c r="A48" s="99" t="s">
        <v>88</v>
      </c>
      <c r="B48" s="99"/>
      <c r="C48" s="49">
        <v>14545315.16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1:164" ht="26.25" customHeight="1">
      <c r="A49" s="38"/>
      <c r="B49" s="98" t="s">
        <v>96</v>
      </c>
      <c r="C49" s="9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:164" ht="25.5" customHeight="1">
      <c r="A50" s="97" t="s">
        <v>97</v>
      </c>
      <c r="B50" s="83"/>
      <c r="C50" s="107">
        <f>SUM(C52:C57)</f>
        <v>14545315.16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:164" ht="26.25" customHeight="1" hidden="1">
      <c r="A51" s="84"/>
      <c r="B51" s="85"/>
      <c r="C51" s="10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:164" ht="36" customHeight="1">
      <c r="A52" s="53">
        <v>1</v>
      </c>
      <c r="B52" s="40" t="s">
        <v>91</v>
      </c>
      <c r="C52" s="13">
        <f>980000+462556.64+7095868.18</f>
        <v>8538424.82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1:164" ht="26.25" customHeight="1">
      <c r="A53" s="53">
        <v>2</v>
      </c>
      <c r="B53" s="41" t="s">
        <v>86</v>
      </c>
      <c r="C53" s="13">
        <v>4160236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:164" ht="26.25" customHeight="1">
      <c r="A54" s="53">
        <v>3</v>
      </c>
      <c r="B54" s="40" t="s">
        <v>92</v>
      </c>
      <c r="C54" s="13">
        <f>500000+468000</f>
        <v>968000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164" ht="26.25" customHeight="1">
      <c r="A55" s="53">
        <v>4</v>
      </c>
      <c r="B55" s="40" t="s">
        <v>93</v>
      </c>
      <c r="C55" s="13">
        <v>777509.35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:164" ht="24" customHeight="1">
      <c r="A56" s="53">
        <v>5</v>
      </c>
      <c r="B56" s="40" t="s">
        <v>94</v>
      </c>
      <c r="C56" s="13">
        <v>47632.9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:164" ht="24" customHeight="1">
      <c r="A57" s="53">
        <v>6</v>
      </c>
      <c r="B57" s="40" t="s">
        <v>95</v>
      </c>
      <c r="C57" s="13">
        <v>53512.09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1:164" ht="24" customHeight="1">
      <c r="A58" s="106" t="s">
        <v>99</v>
      </c>
      <c r="B58" s="106"/>
      <c r="C58" s="46">
        <f>C48-C50</f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1:164" ht="24" customHeight="1">
      <c r="A59" s="48"/>
      <c r="B59" s="48"/>
      <c r="C59" s="5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1:164" ht="24" customHeight="1">
      <c r="A60" s="38">
        <v>3</v>
      </c>
      <c r="B60" s="98" t="s">
        <v>100</v>
      </c>
      <c r="C60" s="9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1:164" ht="24" customHeight="1">
      <c r="A61" s="99" t="s">
        <v>88</v>
      </c>
      <c r="B61" s="99"/>
      <c r="C61" s="49">
        <v>259025.6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1:164" ht="24" customHeight="1">
      <c r="A62" s="38"/>
      <c r="B62" s="98" t="s">
        <v>101</v>
      </c>
      <c r="C62" s="9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1:164" ht="21.75" customHeight="1">
      <c r="A63" s="103" t="s">
        <v>97</v>
      </c>
      <c r="B63" s="104"/>
      <c r="C63" s="102">
        <f>SUM(C66:C77)</f>
        <v>135432.65999999997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1:164" ht="6" customHeight="1">
      <c r="A64" s="105"/>
      <c r="B64" s="105"/>
      <c r="C64" s="10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:6" s="30" customFormat="1" ht="35.25" customHeight="1">
      <c r="A65" s="7"/>
      <c r="B65" s="24" t="s">
        <v>102</v>
      </c>
      <c r="C65" s="8" t="s">
        <v>85</v>
      </c>
      <c r="D65" s="1"/>
      <c r="E65" s="1"/>
      <c r="F65" s="1"/>
    </row>
    <row r="66" spans="1:164" ht="37.5" customHeight="1">
      <c r="A66" s="27">
        <v>1</v>
      </c>
      <c r="B66" s="40" t="s">
        <v>103</v>
      </c>
      <c r="C66" s="13">
        <f>130+4000+750+300+1200</f>
        <v>6380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:164" ht="25.5">
      <c r="A67" s="27">
        <v>2</v>
      </c>
      <c r="B67" s="40" t="s">
        <v>13</v>
      </c>
      <c r="C67" s="13">
        <f>1387+327</f>
        <v>1714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:164" ht="30" customHeight="1">
      <c r="A68" s="27">
        <v>3</v>
      </c>
      <c r="B68" s="40" t="s">
        <v>111</v>
      </c>
      <c r="C68" s="13">
        <f>59615+20000+13730+8000</f>
        <v>101345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:164" ht="30" customHeight="1">
      <c r="A69" s="27"/>
      <c r="B69" s="40" t="s">
        <v>110</v>
      </c>
      <c r="C69" s="13">
        <f>4624.3+119+1183.5+591.75+170</f>
        <v>6688.55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:164" ht="38.25">
      <c r="A70" s="27">
        <v>4</v>
      </c>
      <c r="B70" s="40" t="s">
        <v>33</v>
      </c>
      <c r="C70" s="13">
        <f>8470+30+190+30+20+30+60+30+300+300+10+30+90+90+10+30+20+30+30+10+60+90+10+160+10+30+60+90+30+300+300+350+20+30+60+50+160+170+50+300+300+90+40+30+260+195+60+70+60+300+300+30+20+60+40</f>
        <v>13995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1:164" ht="51">
      <c r="A71" s="27">
        <v>5</v>
      </c>
      <c r="B71" s="40" t="s">
        <v>27</v>
      </c>
      <c r="C71" s="13">
        <v>1050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:164" ht="26.25" customHeight="1">
      <c r="A72" s="27">
        <v>6</v>
      </c>
      <c r="B72" s="40" t="s">
        <v>107</v>
      </c>
      <c r="C72" s="13">
        <f>6.99+20.21+65.77+162.32+226.21</f>
        <v>481.5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:164" ht="19.5" customHeight="1">
      <c r="A73" s="27">
        <v>7</v>
      </c>
      <c r="B73" s="40" t="s">
        <v>106</v>
      </c>
      <c r="C73" s="13">
        <v>1650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:164" ht="25.5">
      <c r="A74" s="27">
        <v>8</v>
      </c>
      <c r="B74" s="40" t="s">
        <v>104</v>
      </c>
      <c r="C74" s="13">
        <f>600+200+481.11</f>
        <v>1281.1100000000001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:164" ht="21.75" customHeight="1">
      <c r="A75" s="27">
        <v>10</v>
      </c>
      <c r="B75" s="40" t="s">
        <v>105</v>
      </c>
      <c r="C75" s="13">
        <v>400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:164" ht="19.5" customHeight="1">
      <c r="A76" s="27">
        <v>11</v>
      </c>
      <c r="B76" s="40" t="s">
        <v>108</v>
      </c>
      <c r="C76" s="13">
        <v>250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:164" ht="12.75">
      <c r="A77" s="4">
        <v>12</v>
      </c>
      <c r="B77" s="40" t="s">
        <v>109</v>
      </c>
      <c r="C77" s="13">
        <v>197.5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:164" ht="30.75" customHeight="1">
      <c r="A78" s="106" t="s">
        <v>99</v>
      </c>
      <c r="B78" s="106"/>
      <c r="C78" s="46">
        <f>C61-C63</f>
        <v>123592.94000000003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:164" ht="12.75">
      <c r="A79" s="15"/>
      <c r="B79" s="16"/>
      <c r="C79" s="1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:164" ht="33" customHeight="1">
      <c r="A80" s="38">
        <v>4</v>
      </c>
      <c r="B80" s="98" t="s">
        <v>147</v>
      </c>
      <c r="C80" s="9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:164" ht="12.75">
      <c r="A81" s="99" t="s">
        <v>88</v>
      </c>
      <c r="B81" s="99"/>
      <c r="C81" s="49">
        <v>847958.86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:164" ht="12.75">
      <c r="A82" s="38"/>
      <c r="B82" s="98" t="s">
        <v>101</v>
      </c>
      <c r="C82" s="9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:164" ht="12.75">
      <c r="A83" s="103" t="s">
        <v>97</v>
      </c>
      <c r="B83" s="104"/>
      <c r="C83" s="102">
        <f>SUM(C86:C89)</f>
        <v>947549.45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:164" ht="12.75">
      <c r="A84" s="105"/>
      <c r="B84" s="105"/>
      <c r="C84" s="10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:164" ht="12.75" customHeight="1">
      <c r="A85" s="7"/>
      <c r="B85" s="24" t="s">
        <v>102</v>
      </c>
      <c r="C85" s="8" t="s">
        <v>85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:164" ht="26.25" customHeight="1">
      <c r="A86" s="27">
        <v>1</v>
      </c>
      <c r="B86" s="28" t="s">
        <v>148</v>
      </c>
      <c r="C86" s="13">
        <f>2400+720+2400+2400+2400+2400+960</f>
        <v>13680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:164" ht="26.25" customHeight="1">
      <c r="A87" s="27">
        <v>2</v>
      </c>
      <c r="B87" s="21" t="s">
        <v>150</v>
      </c>
      <c r="C87" s="13">
        <f>48410.12+18006.6+2691+6438.52+31046.4+3229+9903.68+11704.44+13453.44</f>
        <v>144883.2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1:164" ht="26.25" customHeight="1">
      <c r="A88" s="27">
        <v>3</v>
      </c>
      <c r="B88" s="21" t="s">
        <v>149</v>
      </c>
      <c r="C88" s="13">
        <f>9520+61200</f>
        <v>70720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:6" s="30" customFormat="1" ht="42" customHeight="1">
      <c r="A89" s="27">
        <v>4</v>
      </c>
      <c r="B89" s="21" t="s">
        <v>151</v>
      </c>
      <c r="C89" s="13">
        <f>109280+34420+12441+10004.99+3354+6120+4938.2+27353+34048.78+5831+7499+12441+19080.48+2308.85+7500+12441+3324+4475+7499+10005+12441+5000+34419.99+4475+7499+10005+12441+12441+10005+7499+4475+34421+28070.27+200709.69</f>
        <v>718266.25</v>
      </c>
      <c r="D89" s="1"/>
      <c r="E89" s="1"/>
      <c r="F89" s="1"/>
    </row>
    <row r="90" spans="1:164" ht="37.5" customHeight="1">
      <c r="A90" s="106" t="s">
        <v>99</v>
      </c>
      <c r="B90" s="106"/>
      <c r="C90" s="46">
        <f>C81-C83</f>
        <v>-99590.58999999997</v>
      </c>
      <c r="D90" s="1"/>
      <c r="E90" s="1"/>
      <c r="F90" s="1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:164" ht="53.25" customHeight="1">
      <c r="A91" s="110" t="s">
        <v>152</v>
      </c>
      <c r="B91" s="110"/>
      <c r="C91" s="52" t="s">
        <v>153</v>
      </c>
      <c r="D91" s="1"/>
      <c r="E91" s="1"/>
      <c r="F91" s="1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4:164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1:164" ht="12.75">
      <c r="A93" s="100"/>
      <c r="B93" s="100"/>
      <c r="C93" s="5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3:164" ht="12.75"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4:164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4:164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4:164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4:164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4:164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4:164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4:164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4:164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4:164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4:164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4:164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4:164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4:164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4:164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4:164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4:164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4:164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4:164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4:164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4:164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4:164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4:164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4:164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4:164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4:164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4:164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4:164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4:164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4:164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4:164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4:164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</row>
    <row r="126" spans="4:164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</row>
    <row r="127" spans="4:164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</row>
    <row r="128" spans="4:164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</row>
    <row r="129" spans="4:164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</row>
    <row r="130" spans="4:164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</row>
    <row r="131" spans="4:164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</row>
    <row r="132" spans="4:164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</row>
    <row r="133" spans="4:164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</row>
    <row r="134" spans="4:164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</row>
    <row r="135" spans="4:164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</row>
    <row r="136" spans="4:164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4:164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4:164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4:164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4:164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4:164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4:164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4:164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4:164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4:164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  <row r="146" spans="4:164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</row>
    <row r="147" spans="4:164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</row>
    <row r="148" spans="4:164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</row>
    <row r="149" spans="4:164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</row>
    <row r="150" spans="4:164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</row>
    <row r="151" spans="4:164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</row>
    <row r="152" spans="4:164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</row>
    <row r="153" spans="4:164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</row>
    <row r="154" spans="4:164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</row>
    <row r="155" spans="4:164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</row>
    <row r="156" spans="4:164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</row>
    <row r="157" spans="4:164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</row>
    <row r="158" spans="4:164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</row>
    <row r="159" spans="4:164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</row>
    <row r="160" spans="4:164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</row>
    <row r="161" spans="4:164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</row>
    <row r="162" spans="4:164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</row>
    <row r="163" spans="4:164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</row>
    <row r="164" spans="4:164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</row>
    <row r="165" spans="4:164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</row>
    <row r="166" spans="4:164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</row>
    <row r="167" spans="4:164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</row>
    <row r="168" spans="4:164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</row>
    <row r="169" spans="4:164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</row>
    <row r="170" spans="4:164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</row>
    <row r="171" spans="4:164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</row>
    <row r="172" spans="4:164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</row>
    <row r="173" spans="4:164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</row>
    <row r="174" spans="4:164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</row>
    <row r="175" spans="4:164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</row>
    <row r="176" spans="4:164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</row>
    <row r="177" spans="4:164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</row>
    <row r="178" spans="4:164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</row>
    <row r="179" spans="4:164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</row>
    <row r="180" spans="4:164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</row>
    <row r="181" spans="4:164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</row>
    <row r="182" spans="4:164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</row>
    <row r="183" spans="4:164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</row>
    <row r="184" spans="4:164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</row>
    <row r="185" spans="4:164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</row>
    <row r="186" spans="4:164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</row>
    <row r="187" spans="4:164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</row>
    <row r="188" spans="4:164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</row>
    <row r="189" spans="4:164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</row>
    <row r="190" spans="4:164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</row>
    <row r="191" spans="4:164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</row>
    <row r="192" spans="4:164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</row>
    <row r="193" spans="4:164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</row>
    <row r="194" spans="4:164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</row>
    <row r="195" spans="4:164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</row>
    <row r="196" spans="4:164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</row>
    <row r="197" spans="4:164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</row>
    <row r="198" spans="4:164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</row>
    <row r="199" spans="4:164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</row>
    <row r="200" spans="4:164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</row>
    <row r="201" spans="4:164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</row>
    <row r="202" spans="4:164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</row>
    <row r="203" spans="4:164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</row>
    <row r="204" spans="4:164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</row>
    <row r="205" spans="4:164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</row>
    <row r="206" spans="4:164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</row>
    <row r="207" spans="4:164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</row>
    <row r="208" spans="4:164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</row>
    <row r="209" spans="4:164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</row>
    <row r="210" spans="4:164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</row>
    <row r="211" spans="4:164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</row>
    <row r="212" spans="4:164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</row>
    <row r="213" spans="4:164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</row>
    <row r="214" spans="4:164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</row>
    <row r="215" spans="4:164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</row>
    <row r="216" spans="4:164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</row>
    <row r="217" spans="4:164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</row>
    <row r="218" spans="4:164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</row>
    <row r="219" spans="4:164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</row>
    <row r="220" spans="4:164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</row>
    <row r="221" spans="4:164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</row>
    <row r="222" spans="4:164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</row>
    <row r="223" spans="4:164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</row>
  </sheetData>
  <sheetProtection/>
  <mergeCells count="28">
    <mergeCell ref="B49:C49"/>
    <mergeCell ref="A90:B90"/>
    <mergeCell ref="A91:B91"/>
    <mergeCell ref="B80:C80"/>
    <mergeCell ref="A81:B81"/>
    <mergeCell ref="B82:C82"/>
    <mergeCell ref="A83:B84"/>
    <mergeCell ref="C83:C84"/>
    <mergeCell ref="A78:B78"/>
    <mergeCell ref="C50:C51"/>
    <mergeCell ref="A45:B45"/>
    <mergeCell ref="A46:C46"/>
    <mergeCell ref="A58:B58"/>
    <mergeCell ref="B3:C3"/>
    <mergeCell ref="A4:B4"/>
    <mergeCell ref="A6:B7"/>
    <mergeCell ref="B47:C47"/>
    <mergeCell ref="A48:B48"/>
    <mergeCell ref="A50:B51"/>
    <mergeCell ref="B60:C60"/>
    <mergeCell ref="A61:B61"/>
    <mergeCell ref="A93:B93"/>
    <mergeCell ref="A1:C1"/>
    <mergeCell ref="B5:C5"/>
    <mergeCell ref="C6:C7"/>
    <mergeCell ref="B62:C62"/>
    <mergeCell ref="A63:B64"/>
    <mergeCell ref="C63:C64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0"/>
  <sheetViews>
    <sheetView tabSelected="1" zoomScalePageLayoutView="0" workbookViewId="0" topLeftCell="A52">
      <selection activeCell="I55" sqref="I55"/>
    </sheetView>
  </sheetViews>
  <sheetFormatPr defaultColWidth="9.140625" defaultRowHeight="12.75"/>
  <cols>
    <col min="1" max="1" width="4.28125" style="2" customWidth="1"/>
    <col min="2" max="2" width="59.28125" style="2" customWidth="1"/>
    <col min="3" max="3" width="21.28125" style="2" customWidth="1"/>
    <col min="4" max="4" width="16.57421875" style="2" customWidth="1"/>
    <col min="5" max="5" width="16.8515625" style="0" customWidth="1"/>
    <col min="6" max="6" width="19.00390625" style="0" customWidth="1"/>
    <col min="7" max="7" width="16.00390625" style="0" customWidth="1"/>
    <col min="8" max="8" width="11.57421875" style="0" bestFit="1" customWidth="1"/>
    <col min="9" max="9" width="16.00390625" style="0" customWidth="1"/>
  </cols>
  <sheetData>
    <row r="1" spans="1:6" ht="18" customHeight="1">
      <c r="A1" s="94" t="s">
        <v>156</v>
      </c>
      <c r="B1" s="94"/>
      <c r="C1" s="94"/>
      <c r="D1" s="94"/>
      <c r="E1" s="94"/>
      <c r="F1" s="94"/>
    </row>
    <row r="2" ht="12.75" hidden="1"/>
    <row r="3" spans="1:7" ht="25.5" customHeight="1">
      <c r="A3" s="77" t="s">
        <v>4</v>
      </c>
      <c r="B3" s="80"/>
      <c r="C3" s="80"/>
      <c r="D3" s="80"/>
      <c r="E3" s="80"/>
      <c r="F3" s="81"/>
      <c r="G3" s="1"/>
    </row>
    <row r="4" spans="1:6" ht="26.25" customHeight="1">
      <c r="A4" s="7" t="s">
        <v>0</v>
      </c>
      <c r="B4" s="95" t="s">
        <v>1</v>
      </c>
      <c r="C4" s="96"/>
      <c r="D4" s="9" t="s">
        <v>5</v>
      </c>
      <c r="E4" s="8" t="s">
        <v>2</v>
      </c>
      <c r="F4" s="10" t="s">
        <v>157</v>
      </c>
    </row>
    <row r="5" spans="1:6" s="1" customFormat="1" ht="21.75" customHeight="1">
      <c r="A5" s="112" t="s">
        <v>75</v>
      </c>
      <c r="B5" s="112"/>
      <c r="C5" s="114">
        <v>36806215.92</v>
      </c>
      <c r="D5" s="115">
        <f>SUM(D7:D74)</f>
        <v>35582319.30199999</v>
      </c>
      <c r="E5" s="115">
        <f>SUM(E7:E75)/2</f>
        <v>35324301.74999999</v>
      </c>
      <c r="F5" s="115">
        <f>SUM(F7:F74)</f>
        <v>258017.5519999999</v>
      </c>
    </row>
    <row r="6" spans="1:6" s="1" customFormat="1" ht="1.5" customHeight="1">
      <c r="A6" s="113"/>
      <c r="B6" s="113"/>
      <c r="C6" s="113"/>
      <c r="D6" s="116"/>
      <c r="E6" s="117"/>
      <c r="F6" s="117"/>
    </row>
    <row r="7" spans="1:6" s="1" customFormat="1" ht="69.75" customHeight="1">
      <c r="A7" s="55">
        <v>1</v>
      </c>
      <c r="B7" s="26" t="s">
        <v>158</v>
      </c>
      <c r="C7" s="56"/>
      <c r="D7" s="57">
        <v>100000</v>
      </c>
      <c r="E7" s="58">
        <v>100000</v>
      </c>
      <c r="F7" s="58">
        <f>D7-E7</f>
        <v>0</v>
      </c>
    </row>
    <row r="8" spans="1:6" s="1" customFormat="1" ht="52.5" customHeight="1">
      <c r="A8" s="55">
        <v>2</v>
      </c>
      <c r="B8" s="56" t="s">
        <v>159</v>
      </c>
      <c r="C8" s="56"/>
      <c r="D8" s="57">
        <f>1097499</f>
        <v>1097499</v>
      </c>
      <c r="E8" s="58">
        <f>495600+67300+106751.18+244655.21+183192.61</f>
        <v>1097499</v>
      </c>
      <c r="F8" s="58">
        <f aca="true" t="shared" si="0" ref="F8:F22">D8-E8</f>
        <v>0</v>
      </c>
    </row>
    <row r="9" spans="1:6" s="1" customFormat="1" ht="51">
      <c r="A9" s="55">
        <v>3</v>
      </c>
      <c r="B9" s="56" t="s">
        <v>160</v>
      </c>
      <c r="C9" s="56"/>
      <c r="D9" s="57">
        <v>82400</v>
      </c>
      <c r="E9" s="58">
        <v>82400</v>
      </c>
      <c r="F9" s="58">
        <f t="shared" si="0"/>
        <v>0</v>
      </c>
    </row>
    <row r="10" spans="1:6" s="1" customFormat="1" ht="82.5" customHeight="1">
      <c r="A10" s="55">
        <v>4</v>
      </c>
      <c r="B10" s="56" t="s">
        <v>161</v>
      </c>
      <c r="C10" s="56"/>
      <c r="D10" s="57">
        <v>48654</v>
      </c>
      <c r="E10" s="58">
        <v>38000</v>
      </c>
      <c r="F10" s="58">
        <f t="shared" si="0"/>
        <v>10654</v>
      </c>
    </row>
    <row r="11" spans="1:6" s="1" customFormat="1" ht="19.5" customHeight="1">
      <c r="A11" s="55">
        <v>5</v>
      </c>
      <c r="B11" s="56" t="s">
        <v>162</v>
      </c>
      <c r="C11" s="56"/>
      <c r="D11" s="57">
        <v>198000</v>
      </c>
      <c r="E11" s="58">
        <v>198000</v>
      </c>
      <c r="F11" s="58">
        <f t="shared" si="0"/>
        <v>0</v>
      </c>
    </row>
    <row r="12" spans="1:6" s="1" customFormat="1" ht="25.5">
      <c r="A12" s="55">
        <v>6</v>
      </c>
      <c r="B12" s="56" t="s">
        <v>163</v>
      </c>
      <c r="C12" s="56"/>
      <c r="D12" s="57">
        <v>124551</v>
      </c>
      <c r="E12" s="58">
        <v>124551</v>
      </c>
      <c r="F12" s="58">
        <f t="shared" si="0"/>
        <v>0</v>
      </c>
    </row>
    <row r="13" spans="1:6" s="1" customFormat="1" ht="25.5">
      <c r="A13" s="55">
        <v>7</v>
      </c>
      <c r="B13" s="56" t="s">
        <v>164</v>
      </c>
      <c r="C13" s="56"/>
      <c r="D13" s="57">
        <v>312331</v>
      </c>
      <c r="E13" s="58">
        <v>312331</v>
      </c>
      <c r="F13" s="58">
        <f t="shared" si="0"/>
        <v>0</v>
      </c>
    </row>
    <row r="14" spans="1:6" s="1" customFormat="1" ht="28.5" customHeight="1">
      <c r="A14" s="55">
        <v>8</v>
      </c>
      <c r="B14" s="56" t="s">
        <v>165</v>
      </c>
      <c r="C14" s="56"/>
      <c r="D14" s="57">
        <v>15500</v>
      </c>
      <c r="E14" s="58">
        <v>15500</v>
      </c>
      <c r="F14" s="58">
        <f t="shared" si="0"/>
        <v>0</v>
      </c>
    </row>
    <row r="15" spans="1:6" s="1" customFormat="1" ht="24" customHeight="1">
      <c r="A15" s="55">
        <v>9</v>
      </c>
      <c r="B15" s="56" t="s">
        <v>166</v>
      </c>
      <c r="C15" s="56"/>
      <c r="D15" s="57">
        <v>31450</v>
      </c>
      <c r="E15" s="58">
        <v>31450</v>
      </c>
      <c r="F15" s="58">
        <f t="shared" si="0"/>
        <v>0</v>
      </c>
    </row>
    <row r="16" spans="1:6" s="1" customFormat="1" ht="70.5" customHeight="1">
      <c r="A16" s="55">
        <v>10</v>
      </c>
      <c r="B16" s="56" t="s">
        <v>167</v>
      </c>
      <c r="C16" s="56"/>
      <c r="D16" s="57">
        <f>994816+209155+58896+298930+45014+168190+8820+11600+166876</f>
        <v>1962297</v>
      </c>
      <c r="E16" s="58">
        <f>490000+219606+251205+140000+65560+210000+100000+100000+100000+100000</f>
        <v>1776371</v>
      </c>
      <c r="F16" s="58">
        <f t="shared" si="0"/>
        <v>185926</v>
      </c>
    </row>
    <row r="17" spans="1:6" s="1" customFormat="1" ht="49.5" customHeight="1">
      <c r="A17" s="55">
        <v>11</v>
      </c>
      <c r="B17" s="56" t="s">
        <v>168</v>
      </c>
      <c r="C17" s="56"/>
      <c r="D17" s="57">
        <f>1700650+9350+6930+5830+6380+7590+134079+122510+149098+136440+113433+3212244</f>
        <v>5604534</v>
      </c>
      <c r="E17" s="58">
        <f>748000+300000+1000000+300000+700000+1500000+500000+500000</f>
        <v>5548000</v>
      </c>
      <c r="F17" s="58">
        <f>D17-E17</f>
        <v>56534</v>
      </c>
    </row>
    <row r="18" spans="1:6" s="1" customFormat="1" ht="40.5" customHeight="1">
      <c r="A18" s="59">
        <v>12</v>
      </c>
      <c r="B18" s="56" t="s">
        <v>23</v>
      </c>
      <c r="C18" s="56"/>
      <c r="D18" s="60">
        <f>4412500+216447.86</f>
        <v>4628947.86</v>
      </c>
      <c r="E18" s="58">
        <f>490000+490000+490000+490000+490000+490000+490000+490000+492500+216447.86</f>
        <v>4628947.86</v>
      </c>
      <c r="F18" s="58">
        <f t="shared" si="0"/>
        <v>0</v>
      </c>
    </row>
    <row r="19" spans="1:6" s="1" customFormat="1" ht="101.25" customHeight="1">
      <c r="A19" s="59">
        <v>13</v>
      </c>
      <c r="B19" s="61" t="s">
        <v>24</v>
      </c>
      <c r="C19" s="56"/>
      <c r="D19" s="57">
        <f>8102444+462883.24+153472.18+295336</f>
        <v>9014135.42</v>
      </c>
      <c r="E19" s="58">
        <f>490000+490000+490000+490000+490000+490000+490000+490000+490000+490000+490000+490000+490000+490000+490000+490000+262444+462883.24+295336+153472.18</f>
        <v>9014135.42</v>
      </c>
      <c r="F19" s="58">
        <f t="shared" si="0"/>
        <v>0</v>
      </c>
    </row>
    <row r="20" spans="1:6" s="1" customFormat="1" ht="53.25" customHeight="1">
      <c r="A20" s="59">
        <v>14</v>
      </c>
      <c r="B20" s="61" t="s">
        <v>169</v>
      </c>
      <c r="C20" s="56"/>
      <c r="D20" s="57">
        <v>63650</v>
      </c>
      <c r="E20" s="58">
        <v>63650</v>
      </c>
      <c r="F20" s="58">
        <f>D20-E20</f>
        <v>0</v>
      </c>
    </row>
    <row r="21" spans="1:6" s="1" customFormat="1" ht="26.25" customHeight="1">
      <c r="A21" s="55">
        <v>15</v>
      </c>
      <c r="B21" s="56" t="s">
        <v>19</v>
      </c>
      <c r="C21" s="56"/>
      <c r="D21" s="57">
        <v>969392</v>
      </c>
      <c r="E21" s="58">
        <f>581635+387757</f>
        <v>969392</v>
      </c>
      <c r="F21" s="58">
        <f t="shared" si="0"/>
        <v>0</v>
      </c>
    </row>
    <row r="22" spans="1:167" ht="26.25" customHeight="1">
      <c r="A22" s="55">
        <v>16</v>
      </c>
      <c r="B22" s="56" t="s">
        <v>50</v>
      </c>
      <c r="C22" s="26"/>
      <c r="D22" s="57">
        <f>4992361.25+300000+1101589.59+82383.24</f>
        <v>6476334.08</v>
      </c>
      <c r="E22" s="58">
        <f>150000+300000+1530463.7+500000+150000+500000+100000+1500000+261897.55+300000+1101589.59+82383.24</f>
        <v>6476334.08</v>
      </c>
      <c r="F22" s="58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26.25" customHeight="1">
      <c r="A23" s="55">
        <v>17</v>
      </c>
      <c r="B23" s="56" t="s">
        <v>170</v>
      </c>
      <c r="C23" s="56"/>
      <c r="D23" s="57">
        <f>693256.5+736</f>
        <v>693992.5</v>
      </c>
      <c r="E23" s="58">
        <f>339315+30924+49627.5+273390+736</f>
        <v>693992.5</v>
      </c>
      <c r="F23" s="58">
        <f>D23-E23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26.25" customHeight="1">
      <c r="A24" s="59">
        <v>18</v>
      </c>
      <c r="B24" s="56" t="s">
        <v>54</v>
      </c>
      <c r="C24" s="56"/>
      <c r="D24" s="57">
        <f>2784.84+50118.71</f>
        <v>52903.55</v>
      </c>
      <c r="E24" s="58">
        <v>48000</v>
      </c>
      <c r="F24" s="58">
        <f>D24-E24</f>
        <v>4903.550000000003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26.25" customHeight="1">
      <c r="A25" s="59">
        <v>19</v>
      </c>
      <c r="B25" s="56" t="s">
        <v>59</v>
      </c>
      <c r="C25" s="62"/>
      <c r="D25" s="57">
        <v>76002.58</v>
      </c>
      <c r="E25" s="58">
        <v>76002.58</v>
      </c>
      <c r="F25" s="58">
        <f>D25-E25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33" customHeight="1">
      <c r="A26" s="55">
        <v>20</v>
      </c>
      <c r="B26" s="56" t="s">
        <v>31</v>
      </c>
      <c r="C26" s="56"/>
      <c r="D26" s="57">
        <f>60299.86+110000</f>
        <v>170299.86</v>
      </c>
      <c r="E26" s="58">
        <f>60299.86+110000</f>
        <v>170299.86</v>
      </c>
      <c r="F26" s="58">
        <f>D26-E26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45.75" customHeight="1">
      <c r="A27" s="55">
        <v>21</v>
      </c>
      <c r="B27" s="26" t="s">
        <v>40</v>
      </c>
      <c r="C27" s="56"/>
      <c r="D27" s="57">
        <v>253750</v>
      </c>
      <c r="E27" s="58">
        <f>17500+17500+12600+11200+56550+92000+44300+2100</f>
        <v>253750</v>
      </c>
      <c r="F27" s="58">
        <f>D27-E27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38.25" customHeight="1">
      <c r="A28" s="59">
        <v>22</v>
      </c>
      <c r="B28" s="56" t="s">
        <v>51</v>
      </c>
      <c r="C28" s="56"/>
      <c r="D28" s="57">
        <f>26000+31200+37856</f>
        <v>95056</v>
      </c>
      <c r="E28" s="58">
        <f>26000+31200+37856</f>
        <v>95056</v>
      </c>
      <c r="F28" s="58">
        <f aca="true" t="shared" si="1" ref="F28:F38">D28-E28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36" customHeight="1">
      <c r="A29" s="59">
        <v>23</v>
      </c>
      <c r="B29" s="56" t="s">
        <v>53</v>
      </c>
      <c r="C29" s="56"/>
      <c r="D29" s="57">
        <v>320000</v>
      </c>
      <c r="E29" s="58">
        <f>160000+160000</f>
        <v>320000</v>
      </c>
      <c r="F29" s="58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48.75" customHeight="1">
      <c r="A30" s="59">
        <v>24</v>
      </c>
      <c r="B30" s="61" t="s">
        <v>171</v>
      </c>
      <c r="C30" s="56"/>
      <c r="D30" s="57">
        <v>2850</v>
      </c>
      <c r="E30" s="58">
        <v>2850</v>
      </c>
      <c r="F30" s="58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26.25" customHeight="1">
      <c r="A31" s="59">
        <v>25</v>
      </c>
      <c r="B31" s="61" t="s">
        <v>172</v>
      </c>
      <c r="C31" s="56"/>
      <c r="D31" s="57">
        <v>5000</v>
      </c>
      <c r="E31" s="58">
        <v>5000</v>
      </c>
      <c r="F31" s="58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32.25" customHeight="1">
      <c r="A32" s="55">
        <v>26</v>
      </c>
      <c r="B32" s="61" t="s">
        <v>173</v>
      </c>
      <c r="C32" s="56"/>
      <c r="D32" s="57">
        <f>77898</f>
        <v>77898</v>
      </c>
      <c r="E32" s="58">
        <f>77898</f>
        <v>77898</v>
      </c>
      <c r="F32" s="58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47.25" customHeight="1">
      <c r="A33" s="59">
        <v>27</v>
      </c>
      <c r="B33" s="62" t="s">
        <v>174</v>
      </c>
      <c r="C33" s="56" t="s">
        <v>175</v>
      </c>
      <c r="D33" s="57">
        <f>82602+69300+1250</f>
        <v>153152</v>
      </c>
      <c r="E33" s="63">
        <f>82602+69300+1250</f>
        <v>153152</v>
      </c>
      <c r="F33" s="58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26.25" customHeight="1">
      <c r="A34" s="59">
        <v>28</v>
      </c>
      <c r="B34" s="61" t="s">
        <v>176</v>
      </c>
      <c r="C34" s="56" t="s">
        <v>175</v>
      </c>
      <c r="D34" s="57">
        <v>89680</v>
      </c>
      <c r="E34" s="58">
        <v>89680</v>
      </c>
      <c r="F34" s="58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42" customHeight="1">
      <c r="A35" s="59">
        <v>29</v>
      </c>
      <c r="B35" s="61" t="s">
        <v>177</v>
      </c>
      <c r="C35" s="56" t="s">
        <v>175</v>
      </c>
      <c r="D35" s="57">
        <f>270411+143036</f>
        <v>413447</v>
      </c>
      <c r="E35" s="58">
        <f>270411+143036</f>
        <v>413447</v>
      </c>
      <c r="F35" s="58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26.25" customHeight="1">
      <c r="A36" s="59">
        <v>30</v>
      </c>
      <c r="B36" s="56" t="s">
        <v>178</v>
      </c>
      <c r="C36" s="56" t="s">
        <v>179</v>
      </c>
      <c r="D36" s="57">
        <f>30750+118660</f>
        <v>149410</v>
      </c>
      <c r="E36" s="58">
        <f>66480+52180+30750</f>
        <v>149410</v>
      </c>
      <c r="F36" s="58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36" customHeight="1">
      <c r="A37" s="59">
        <v>31</v>
      </c>
      <c r="B37" s="56" t="s">
        <v>63</v>
      </c>
      <c r="C37" s="56"/>
      <c r="D37" s="57">
        <v>5352.41</v>
      </c>
      <c r="E37" s="58">
        <f>233.06+1444.91+1771.18+185.4+1717.86</f>
        <v>5352.41</v>
      </c>
      <c r="F37" s="58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36" customHeight="1">
      <c r="A38" s="59">
        <v>32</v>
      </c>
      <c r="B38" s="26" t="s">
        <v>180</v>
      </c>
      <c r="C38" s="56"/>
      <c r="D38" s="57">
        <v>77300</v>
      </c>
      <c r="E38" s="58">
        <v>77300</v>
      </c>
      <c r="F38" s="58">
        <f t="shared" si="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36" customHeight="1">
      <c r="A39" s="59">
        <v>33</v>
      </c>
      <c r="B39" s="56" t="s">
        <v>181</v>
      </c>
      <c r="C39" s="56"/>
      <c r="D39" s="57">
        <v>143270.6</v>
      </c>
      <c r="E39" s="58">
        <v>143270.6</v>
      </c>
      <c r="F39" s="58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27.75" customHeight="1">
      <c r="A40" s="64"/>
      <c r="B40" s="65" t="s">
        <v>182</v>
      </c>
      <c r="C40" s="65"/>
      <c r="D40" s="66"/>
      <c r="E40" s="67">
        <f>SUM(E7:E39)</f>
        <v>33251022.31</v>
      </c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30.75" customHeight="1">
      <c r="A41" s="55">
        <v>1</v>
      </c>
      <c r="B41" s="56" t="s">
        <v>30</v>
      </c>
      <c r="C41" s="56"/>
      <c r="D41" s="57">
        <f>34500+1069.5+690+7935+1035+16387.5+4111.77+(17250+17250)*131.1%</f>
        <v>110958.27</v>
      </c>
      <c r="E41" s="58">
        <f>45229.5+10875+1625+408+2728.36+4862.91+690+1069.4+4486+8970+15007+15007+0.1</f>
        <v>110958.27</v>
      </c>
      <c r="F41" s="58">
        <f aca="true" t="shared" si="2" ref="F41:F59">D41-E41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ht="36" customHeight="1">
      <c r="A42" s="55">
        <v>2</v>
      </c>
      <c r="B42" s="56" t="s">
        <v>42</v>
      </c>
      <c r="C42" s="56"/>
      <c r="D42" s="57">
        <v>12061</v>
      </c>
      <c r="E42" s="58">
        <f>9200+2861</f>
        <v>12061</v>
      </c>
      <c r="F42" s="58">
        <f t="shared" si="2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36" customHeight="1">
      <c r="A43" s="59">
        <v>3</v>
      </c>
      <c r="B43" s="56" t="s">
        <v>44</v>
      </c>
      <c r="C43" s="56"/>
      <c r="D43" s="57">
        <f>4111.3+17250+3450</f>
        <v>24811.3</v>
      </c>
      <c r="E43" s="58">
        <f>2728+408+975.3+17250+3450</f>
        <v>24811.3</v>
      </c>
      <c r="F43" s="58">
        <f t="shared" si="2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60" customHeight="1">
      <c r="A44" s="59">
        <v>4</v>
      </c>
      <c r="B44" s="56" t="s">
        <v>45</v>
      </c>
      <c r="C44" s="56"/>
      <c r="D44" s="57">
        <v>31558.88</v>
      </c>
      <c r="E44" s="58">
        <f>3129+20943.37+7486.51</f>
        <v>31558.879999999997</v>
      </c>
      <c r="F44" s="58">
        <f t="shared" si="2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ht="60" customHeight="1">
      <c r="A45" s="59">
        <v>5</v>
      </c>
      <c r="B45" s="56" t="s">
        <v>183</v>
      </c>
      <c r="C45" s="68" t="s">
        <v>184</v>
      </c>
      <c r="D45" s="57">
        <f>(63511.36+51750+64437+40250)*1.2</f>
        <v>263938.03199999995</v>
      </c>
      <c r="E45" s="58">
        <v>263938.03</v>
      </c>
      <c r="F45" s="58">
        <f t="shared" si="2"/>
        <v>0.00199999992037192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ht="38.25" customHeight="1">
      <c r="A46" s="59">
        <v>6</v>
      </c>
      <c r="B46" s="56" t="s">
        <v>185</v>
      </c>
      <c r="C46" s="56"/>
      <c r="D46" s="57">
        <v>81520.8</v>
      </c>
      <c r="E46" s="58">
        <v>81520.8</v>
      </c>
      <c r="F46" s="58">
        <f t="shared" si="2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ht="26.25" customHeight="1">
      <c r="A47" s="55">
        <v>7</v>
      </c>
      <c r="B47" s="56" t="s">
        <v>43</v>
      </c>
      <c r="C47" s="56"/>
      <c r="D47" s="57">
        <v>7238.5</v>
      </c>
      <c r="E47" s="58">
        <f>4712.5+377+2149</f>
        <v>7238.5</v>
      </c>
      <c r="F47" s="58">
        <f t="shared" si="2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ht="36" customHeight="1">
      <c r="A48" s="55">
        <v>8</v>
      </c>
      <c r="B48" s="56" t="s">
        <v>29</v>
      </c>
      <c r="C48" s="56"/>
      <c r="D48" s="57">
        <v>13780.9</v>
      </c>
      <c r="E48" s="58">
        <f>2570.48+1002.65+3759.46+1794+544.05+2334.96+1775.3</f>
        <v>13780.899999999998</v>
      </c>
      <c r="F48" s="58">
        <f t="shared" si="2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26.25" customHeight="1">
      <c r="A49" s="59">
        <v>9</v>
      </c>
      <c r="B49" s="56" t="s">
        <v>46</v>
      </c>
      <c r="C49" s="56"/>
      <c r="D49" s="57">
        <v>13458.08</v>
      </c>
      <c r="E49" s="58">
        <f>698.92+529.6+474+455+35+6727+125.12+446.86+209+641.7+189.05+1059.75+269.56+40+51.52+478+514+514</f>
        <v>13458.080000000002</v>
      </c>
      <c r="F49" s="58">
        <f t="shared" si="2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26.25" customHeight="1">
      <c r="A50" s="55">
        <v>10</v>
      </c>
      <c r="B50" s="56" t="s">
        <v>32</v>
      </c>
      <c r="C50" s="56"/>
      <c r="D50" s="57">
        <v>1479.36</v>
      </c>
      <c r="E50" s="58">
        <f>441.6+1037.76</f>
        <v>1479.3600000000001</v>
      </c>
      <c r="F50" s="58">
        <f t="shared" si="2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ht="26.25" customHeight="1">
      <c r="A51" s="59">
        <v>11</v>
      </c>
      <c r="B51" s="56" t="s">
        <v>38</v>
      </c>
      <c r="C51" s="56"/>
      <c r="D51" s="57">
        <v>7451.71</v>
      </c>
      <c r="E51" s="58">
        <v>7451.71</v>
      </c>
      <c r="F51" s="58">
        <f t="shared" si="2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ht="12.75">
      <c r="A52" s="59">
        <v>12</v>
      </c>
      <c r="B52" s="56" t="s">
        <v>36</v>
      </c>
      <c r="C52" s="56"/>
      <c r="D52" s="57">
        <v>358.8</v>
      </c>
      <c r="E52" s="58">
        <v>358.8</v>
      </c>
      <c r="F52" s="58">
        <f t="shared" si="2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12.75">
      <c r="A53" s="59">
        <v>13</v>
      </c>
      <c r="B53" s="56" t="s">
        <v>35</v>
      </c>
      <c r="C53" s="56"/>
      <c r="D53" s="57">
        <v>162</v>
      </c>
      <c r="E53" s="58">
        <v>162</v>
      </c>
      <c r="F53" s="58">
        <f t="shared" si="2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12.75">
      <c r="A54" s="59">
        <v>14</v>
      </c>
      <c r="B54" s="56" t="s">
        <v>18</v>
      </c>
      <c r="C54" s="56"/>
      <c r="D54" s="57">
        <v>279.9</v>
      </c>
      <c r="E54" s="58">
        <v>279.9</v>
      </c>
      <c r="F54" s="58">
        <f t="shared" si="2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12.75">
      <c r="A55" s="59">
        <v>15</v>
      </c>
      <c r="B55" s="56" t="s">
        <v>62</v>
      </c>
      <c r="C55" s="56"/>
      <c r="D55" s="57">
        <v>1372.79</v>
      </c>
      <c r="E55" s="58">
        <v>1372.79</v>
      </c>
      <c r="F55" s="58">
        <f t="shared" si="2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26.25" customHeight="1">
      <c r="A56" s="59">
        <v>16</v>
      </c>
      <c r="B56" s="56" t="s">
        <v>61</v>
      </c>
      <c r="C56" s="56"/>
      <c r="D56" s="57">
        <v>1271.04</v>
      </c>
      <c r="E56" s="58">
        <f>225.74+332+713.3</f>
        <v>1271.04</v>
      </c>
      <c r="F56" s="58">
        <f t="shared" si="2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26.25" customHeight="1">
      <c r="A57" s="59">
        <v>17</v>
      </c>
      <c r="B57" s="56" t="s">
        <v>60</v>
      </c>
      <c r="C57" s="56"/>
      <c r="D57" s="57">
        <v>83552.84</v>
      </c>
      <c r="E57" s="58">
        <f>1544.68+1742.94+144.55+720.82+908.96+1821.6+561.45+553+840.14+498+995.92+358.8+642.16+71.9+242.51+375.36+1195+1314.5+484.84+436.44+364.84+372.4+528+22.32+843.6+280+987.2+6980.38+4754.9+16483.97+12451.9+4845.24+4207.69+14976.83</f>
        <v>83552.84</v>
      </c>
      <c r="F57" s="58">
        <f t="shared" si="2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ht="26.25" customHeight="1">
      <c r="A58" s="59">
        <v>18</v>
      </c>
      <c r="B58" s="56" t="s">
        <v>72</v>
      </c>
      <c r="C58" s="56"/>
      <c r="D58" s="57">
        <v>36403</v>
      </c>
      <c r="E58" s="58">
        <v>36403</v>
      </c>
      <c r="F58" s="58">
        <f t="shared" si="2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ht="26.25" customHeight="1">
      <c r="A59" s="59">
        <v>19</v>
      </c>
      <c r="B59" s="56" t="s">
        <v>186</v>
      </c>
      <c r="C59" s="56"/>
      <c r="D59" s="57">
        <v>486</v>
      </c>
      <c r="E59" s="58">
        <v>486</v>
      </c>
      <c r="F59" s="58">
        <f t="shared" si="2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26.25" customHeight="1">
      <c r="A60" s="69"/>
      <c r="B60" s="65" t="s">
        <v>187</v>
      </c>
      <c r="C60" s="65"/>
      <c r="D60" s="66"/>
      <c r="E60" s="67">
        <f>SUM(E41:E59)</f>
        <v>692143.2000000001</v>
      </c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26.25" customHeight="1">
      <c r="A61" s="59"/>
      <c r="B61" s="61"/>
      <c r="C61" s="56"/>
      <c r="D61" s="57"/>
      <c r="E61" s="58"/>
      <c r="F61" s="5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ht="26.25" customHeight="1">
      <c r="A62" s="59">
        <v>1</v>
      </c>
      <c r="B62" s="56" t="s">
        <v>67</v>
      </c>
      <c r="C62" s="56"/>
      <c r="D62" s="57">
        <f>158865+160500+210255</f>
        <v>529620</v>
      </c>
      <c r="E62" s="58">
        <f>100000+58865+130500+30000+195255+15000</f>
        <v>529620</v>
      </c>
      <c r="F62" s="58">
        <f>D62-E62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26.25" customHeight="1">
      <c r="A63" s="59">
        <v>2</v>
      </c>
      <c r="B63" s="61" t="s">
        <v>78</v>
      </c>
      <c r="C63" s="56"/>
      <c r="D63" s="57">
        <v>140220</v>
      </c>
      <c r="E63" s="58">
        <f>74580+20970+5810+33140+5720</f>
        <v>140220</v>
      </c>
      <c r="F63" s="58">
        <f>D63-E63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26.25" customHeight="1">
      <c r="A64" s="59">
        <v>3</v>
      </c>
      <c r="B64" s="56" t="s">
        <v>47</v>
      </c>
      <c r="C64" s="56"/>
      <c r="D64" s="57">
        <f>200154.5+200154.5+12000</f>
        <v>412309</v>
      </c>
      <c r="E64" s="58">
        <f>200154.5+200154.5+12000</f>
        <v>412309</v>
      </c>
      <c r="F64" s="58">
        <f>D64-E64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ht="26.25" customHeight="1">
      <c r="A65" s="59">
        <v>4</v>
      </c>
      <c r="B65" s="56" t="s">
        <v>188</v>
      </c>
      <c r="C65" s="56"/>
      <c r="D65" s="57">
        <v>2800</v>
      </c>
      <c r="E65" s="58">
        <v>2800</v>
      </c>
      <c r="F65" s="58"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ht="26.25" customHeight="1">
      <c r="A66" s="59">
        <v>5</v>
      </c>
      <c r="B66" s="56" t="s">
        <v>49</v>
      </c>
      <c r="C66" s="56"/>
      <c r="D66" s="57">
        <v>96358.97</v>
      </c>
      <c r="E66" s="58">
        <v>96358.97</v>
      </c>
      <c r="F66" s="58">
        <f>D66-E66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ht="30.75" customHeight="1">
      <c r="A67" s="55">
        <v>6</v>
      </c>
      <c r="B67" s="56" t="s">
        <v>34</v>
      </c>
      <c r="C67" s="56"/>
      <c r="D67" s="57">
        <f>4500+3900</f>
        <v>8400</v>
      </c>
      <c r="E67" s="58">
        <f>4500+3900</f>
        <v>8400</v>
      </c>
      <c r="F67" s="58">
        <f>D67-E67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ht="36" customHeight="1">
      <c r="A68" s="59">
        <v>7</v>
      </c>
      <c r="B68" s="61" t="s">
        <v>189</v>
      </c>
      <c r="C68" s="56"/>
      <c r="D68" s="57">
        <v>2500</v>
      </c>
      <c r="E68" s="58">
        <v>2500</v>
      </c>
      <c r="F68" s="58">
        <f>D68-E68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26.25" customHeight="1">
      <c r="A69" s="59">
        <v>8</v>
      </c>
      <c r="B69" s="61" t="s">
        <v>79</v>
      </c>
      <c r="C69" s="56"/>
      <c r="D69" s="57">
        <v>34107.95</v>
      </c>
      <c r="E69" s="58">
        <v>34107.95</v>
      </c>
      <c r="F69" s="58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ht="26.25" customHeight="1">
      <c r="A70" s="59">
        <v>9</v>
      </c>
      <c r="B70" s="61" t="s">
        <v>77</v>
      </c>
      <c r="C70" s="56"/>
      <c r="D70" s="57">
        <v>0.32</v>
      </c>
      <c r="E70" s="58">
        <v>0.32</v>
      </c>
      <c r="F70" s="58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26.25" customHeight="1">
      <c r="A71" s="59">
        <v>10</v>
      </c>
      <c r="B71" s="61" t="s">
        <v>190</v>
      </c>
      <c r="C71" s="56"/>
      <c r="D71" s="57">
        <v>4000</v>
      </c>
      <c r="E71" s="58">
        <v>4000</v>
      </c>
      <c r="F71" s="58">
        <f>D71-E71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26.25" customHeight="1">
      <c r="A72" s="59">
        <v>11</v>
      </c>
      <c r="B72" s="61" t="s">
        <v>191</v>
      </c>
      <c r="C72" s="56"/>
      <c r="D72" s="57">
        <v>7470</v>
      </c>
      <c r="E72" s="58">
        <v>7470</v>
      </c>
      <c r="F72" s="58">
        <f>D72-E72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26.25" customHeight="1">
      <c r="A73" s="59">
        <v>12</v>
      </c>
      <c r="B73" s="61" t="s">
        <v>192</v>
      </c>
      <c r="C73" s="56"/>
      <c r="D73" s="57">
        <v>68350</v>
      </c>
      <c r="E73" s="58">
        <v>68350</v>
      </c>
      <c r="F73" s="58">
        <f>D73-E73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26.25" customHeight="1">
      <c r="A74" s="59"/>
      <c r="B74" s="61" t="s">
        <v>193</v>
      </c>
      <c r="C74" s="56"/>
      <c r="D74" s="57">
        <v>75000</v>
      </c>
      <c r="E74" s="58">
        <v>75000</v>
      </c>
      <c r="F74" s="58">
        <f>D74-E74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29.25" customHeight="1">
      <c r="A75" s="64"/>
      <c r="B75" s="65" t="s">
        <v>194</v>
      </c>
      <c r="C75" s="65"/>
      <c r="D75" s="66"/>
      <c r="E75" s="67">
        <f>E62+E63+E64+E65+E66+E67+E68+E69+E70+E71+E72+E73+E74</f>
        <v>1381136.24</v>
      </c>
      <c r="F75" s="6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44.25" customHeight="1">
      <c r="A76" s="77" t="s">
        <v>80</v>
      </c>
      <c r="B76" s="80"/>
      <c r="C76" s="80"/>
      <c r="D76" s="80"/>
      <c r="E76" s="80"/>
      <c r="F76" s="8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26.25" customHeight="1">
      <c r="A77" s="59"/>
      <c r="B77" s="33" t="s">
        <v>74</v>
      </c>
      <c r="C77" s="70">
        <f>7348301.99+7197013.17</f>
        <v>14545315.16</v>
      </c>
      <c r="D77" s="57"/>
      <c r="E77" s="58">
        <f>E83+E82+E81+E80+E79+E78</f>
        <v>14545315.16</v>
      </c>
      <c r="F77" s="58">
        <f>C77-E77</f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ht="36" customHeight="1">
      <c r="A78" s="59">
        <v>1</v>
      </c>
      <c r="B78" s="37" t="s">
        <v>76</v>
      </c>
      <c r="D78" s="57">
        <v>12911000</v>
      </c>
      <c r="E78" s="58">
        <f>980000+462556.64+7095868.18</f>
        <v>8538424.82</v>
      </c>
      <c r="F78" s="58">
        <f>D78-E78</f>
        <v>4372575.18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26.25" customHeight="1">
      <c r="A79" s="59">
        <v>2</v>
      </c>
      <c r="B79" s="28" t="s">
        <v>77</v>
      </c>
      <c r="C79" s="71"/>
      <c r="D79" s="57">
        <v>4160236.32</v>
      </c>
      <c r="E79" s="58">
        <v>4160236</v>
      </c>
      <c r="F79" s="58">
        <f>D79-E79</f>
        <v>0.31999999983236194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ht="26.25" customHeight="1">
      <c r="A80" s="59">
        <v>3</v>
      </c>
      <c r="B80" s="37" t="s">
        <v>52</v>
      </c>
      <c r="C80" s="71"/>
      <c r="D80" s="57">
        <v>968000</v>
      </c>
      <c r="E80" s="58">
        <f>500000+468000</f>
        <v>968000</v>
      </c>
      <c r="F80" s="58">
        <f>D80-E80</f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ht="26.25" customHeight="1">
      <c r="A81" s="59">
        <v>4</v>
      </c>
      <c r="B81" s="37" t="s">
        <v>56</v>
      </c>
      <c r="C81" s="6"/>
      <c r="D81" s="57">
        <v>777509.35</v>
      </c>
      <c r="E81" s="58">
        <v>777509.35</v>
      </c>
      <c r="F81" s="58">
        <f>D81-E81</f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ht="25.5">
      <c r="A82" s="59">
        <v>5</v>
      </c>
      <c r="B82" s="37" t="s">
        <v>70</v>
      </c>
      <c r="C82" s="71"/>
      <c r="D82" s="57">
        <v>47632.9</v>
      </c>
      <c r="E82" s="58">
        <v>47632.9</v>
      </c>
      <c r="F82" s="58"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ht="12.75">
      <c r="A83" s="59">
        <v>6</v>
      </c>
      <c r="B83" s="37" t="s">
        <v>71</v>
      </c>
      <c r="C83" s="71"/>
      <c r="D83" s="57">
        <v>53512.09</v>
      </c>
      <c r="E83" s="58">
        <v>53512.09</v>
      </c>
      <c r="F83" s="58"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ht="12.75">
      <c r="A84" s="59"/>
      <c r="B84" s="37"/>
      <c r="C84" s="71"/>
      <c r="D84" s="57"/>
      <c r="E84" s="58"/>
      <c r="F84" s="5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ht="12.75">
      <c r="A85" s="59"/>
      <c r="B85" s="37"/>
      <c r="C85" s="71"/>
      <c r="D85" s="57"/>
      <c r="E85" s="58"/>
      <c r="F85" s="5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ht="12.75">
      <c r="A86" s="59"/>
      <c r="B86" s="28"/>
      <c r="C86" s="71"/>
      <c r="D86" s="57"/>
      <c r="E86" s="58"/>
      <c r="F86" s="5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ht="26.25" customHeight="1">
      <c r="A87" s="77" t="s">
        <v>7</v>
      </c>
      <c r="B87" s="78"/>
      <c r="C87" s="78"/>
      <c r="D87" s="78"/>
      <c r="E87" s="78"/>
      <c r="F87" s="7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1:6" s="1" customFormat="1" ht="35.25" customHeight="1">
      <c r="A88" s="7" t="s">
        <v>0</v>
      </c>
      <c r="B88" s="24" t="s">
        <v>1</v>
      </c>
      <c r="C88" s="25"/>
      <c r="D88" s="9" t="s">
        <v>5</v>
      </c>
      <c r="E88" s="8" t="s">
        <v>2</v>
      </c>
      <c r="F88" s="10" t="s">
        <v>3</v>
      </c>
    </row>
    <row r="89" spans="1:167" ht="30" customHeight="1">
      <c r="A89" s="111" t="s">
        <v>6</v>
      </c>
      <c r="B89" s="91"/>
      <c r="C89" s="72">
        <v>295661.36</v>
      </c>
      <c r="D89" s="72"/>
      <c r="E89" s="72">
        <f>SUM(E90:E104)</f>
        <v>129279.36</v>
      </c>
      <c r="F89" s="72">
        <f>C89-E89</f>
        <v>166382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167" ht="41.25" customHeight="1">
      <c r="A90" s="55">
        <v>1</v>
      </c>
      <c r="B90" s="37" t="s">
        <v>10</v>
      </c>
      <c r="C90" s="71"/>
      <c r="D90" s="57"/>
      <c r="E90" s="58">
        <f>130+4000+750+300+1200</f>
        <v>6380</v>
      </c>
      <c r="F90" s="5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1:167" ht="41.25" customHeight="1">
      <c r="A91" s="55">
        <v>2</v>
      </c>
      <c r="B91" s="37" t="s">
        <v>13</v>
      </c>
      <c r="C91" s="71"/>
      <c r="D91" s="57"/>
      <c r="E91" s="58">
        <f>1387+327</f>
        <v>1714</v>
      </c>
      <c r="F91" s="5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1:167" ht="30" customHeight="1">
      <c r="A92" s="55">
        <v>3</v>
      </c>
      <c r="B92" s="37" t="s">
        <v>11</v>
      </c>
      <c r="C92" s="71"/>
      <c r="D92" s="57">
        <f>79615+21730</f>
        <v>101345</v>
      </c>
      <c r="E92" s="58">
        <f>59615+20000+13730+8000</f>
        <v>101345</v>
      </c>
      <c r="F92" s="58">
        <f>D92-E92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ht="42.75" customHeight="1">
      <c r="A93" s="55">
        <v>4</v>
      </c>
      <c r="B93" s="37" t="s">
        <v>33</v>
      </c>
      <c r="C93" s="71"/>
      <c r="D93" s="57"/>
      <c r="E93" s="58">
        <f>8470+30+190+30+20+30+60+30+300+300+10+30+90+90+10+30+20+30+30+10+60+90+10+160+10+30+60+90+30+300+300+350+20+30+60+50+160+170+50+300+300+90+40+30+260+195+60+70+60+300+300+30+20+60+40+12+30+60+60+24+120+36</f>
        <v>14337</v>
      </c>
      <c r="F93" s="5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1:167" ht="37.5" customHeight="1">
      <c r="A94" s="55">
        <v>5</v>
      </c>
      <c r="B94" s="37" t="s">
        <v>27</v>
      </c>
      <c r="C94" s="71"/>
      <c r="D94" s="57">
        <v>1050</v>
      </c>
      <c r="E94" s="58">
        <v>1050</v>
      </c>
      <c r="F94" s="58">
        <f>D94-E94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ht="12.75">
      <c r="A95" s="55">
        <v>6</v>
      </c>
      <c r="B95" s="37" t="s">
        <v>28</v>
      </c>
      <c r="C95" s="71"/>
      <c r="D95" s="57"/>
      <c r="E95" s="58">
        <f>6.99+20.21+65.77+162.32+226.21+193.25</f>
        <v>674.75</v>
      </c>
      <c r="F95" s="5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1:167" ht="12.75">
      <c r="A96" s="55">
        <v>7</v>
      </c>
      <c r="B96" s="37" t="s">
        <v>17</v>
      </c>
      <c r="C96" s="71"/>
      <c r="D96" s="57"/>
      <c r="E96" s="58">
        <v>1650</v>
      </c>
      <c r="F96" s="58"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ht="12.75">
      <c r="A97" s="55">
        <v>8</v>
      </c>
      <c r="B97" s="37" t="s">
        <v>20</v>
      </c>
      <c r="C97" s="71"/>
      <c r="D97" s="57"/>
      <c r="E97" s="58">
        <f>600+200</f>
        <v>800</v>
      </c>
      <c r="F97" s="58"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ht="12.75">
      <c r="A98" s="55">
        <v>9</v>
      </c>
      <c r="B98" s="37" t="s">
        <v>57</v>
      </c>
      <c r="C98" s="71"/>
      <c r="D98" s="57"/>
      <c r="E98" s="58">
        <v>481.11</v>
      </c>
      <c r="F98" s="58"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1:167" ht="12.75">
      <c r="A99" s="55">
        <v>10</v>
      </c>
      <c r="B99" s="37" t="s">
        <v>21</v>
      </c>
      <c r="C99" s="71"/>
      <c r="D99" s="57"/>
      <c r="E99" s="58">
        <v>400</v>
      </c>
      <c r="F99" s="58"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1:167" ht="12.75">
      <c r="A100" s="55">
        <v>11</v>
      </c>
      <c r="B100" s="37" t="s">
        <v>37</v>
      </c>
      <c r="C100" s="71"/>
      <c r="D100" s="57"/>
      <c r="E100" s="58">
        <v>250</v>
      </c>
      <c r="F100" s="5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1:167" ht="12.75">
      <c r="A101" s="55">
        <v>12</v>
      </c>
      <c r="B101" s="37" t="s">
        <v>22</v>
      </c>
      <c r="C101" s="71"/>
      <c r="D101" s="57"/>
      <c r="E101" s="58">
        <v>197.5</v>
      </c>
      <c r="F101" s="58"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1:167" ht="12.75">
      <c r="A102" s="55"/>
      <c r="B102" s="37"/>
      <c r="C102" s="71"/>
      <c r="D102" s="57"/>
      <c r="E102" s="58"/>
      <c r="F102" s="5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1:167" ht="12.75">
      <c r="A103" s="55"/>
      <c r="B103" s="37"/>
      <c r="C103" s="71"/>
      <c r="D103" s="57"/>
      <c r="E103" s="58"/>
      <c r="F103" s="5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1:167" ht="12.75">
      <c r="A104" s="55"/>
      <c r="B104" s="37"/>
      <c r="C104" s="71"/>
      <c r="D104" s="57"/>
      <c r="E104" s="58"/>
      <c r="F104" s="5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1:167" ht="12.75">
      <c r="A105" s="73"/>
      <c r="B105" s="74"/>
      <c r="C105" s="74"/>
      <c r="D105" s="75"/>
      <c r="E105" s="76"/>
      <c r="F105" s="7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1:167" ht="12.75">
      <c r="A106" s="6"/>
      <c r="B106" s="6"/>
      <c r="C106" s="6"/>
      <c r="D106" s="6"/>
      <c r="E106" s="29"/>
      <c r="F106" s="2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1:167" ht="30.75" customHeight="1">
      <c r="A107" s="77" t="s">
        <v>8</v>
      </c>
      <c r="B107" s="78"/>
      <c r="C107" s="78"/>
      <c r="D107" s="78"/>
      <c r="E107" s="78"/>
      <c r="F107" s="7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ht="26.25" customHeight="1">
      <c r="A108" s="7" t="s">
        <v>0</v>
      </c>
      <c r="B108" s="24" t="s">
        <v>1</v>
      </c>
      <c r="C108" s="25"/>
      <c r="D108" s="9" t="s">
        <v>5</v>
      </c>
      <c r="E108" s="8" t="s">
        <v>2</v>
      </c>
      <c r="F108" s="10" t="s">
        <v>3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1:167" ht="26.25" customHeight="1">
      <c r="A109" s="111" t="s">
        <v>6</v>
      </c>
      <c r="B109" s="91"/>
      <c r="C109" s="72">
        <v>854631.36</v>
      </c>
      <c r="D109" s="72"/>
      <c r="E109" s="72">
        <f>SUM(E110:E117)</f>
        <v>1065850.92</v>
      </c>
      <c r="F109" s="72">
        <f>C109-E109</f>
        <v>-211219.55999999994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1:6" s="1" customFormat="1" ht="26.25" customHeight="1">
      <c r="A110" s="55">
        <v>1</v>
      </c>
      <c r="B110" s="23" t="s">
        <v>41</v>
      </c>
      <c r="C110" s="71"/>
      <c r="D110" s="57" t="s">
        <v>14</v>
      </c>
      <c r="E110" s="58">
        <f>2400+720+2400+2400+2400+2400+960</f>
        <v>13680</v>
      </c>
      <c r="F110" s="58"/>
    </row>
    <row r="111" spans="1:6" s="1" customFormat="1" ht="26.25" customHeight="1">
      <c r="A111" s="55">
        <v>2</v>
      </c>
      <c r="B111" s="37" t="s">
        <v>25</v>
      </c>
      <c r="C111" s="71"/>
      <c r="D111" s="57"/>
      <c r="E111" s="58">
        <f>48410.12+18006.6+2691+6438.52+31046.4+3229+9903.68+11704.44+13453.44</f>
        <v>144883.2</v>
      </c>
      <c r="F111" s="58"/>
    </row>
    <row r="112" spans="1:6" s="1" customFormat="1" ht="42" customHeight="1">
      <c r="A112" s="55">
        <v>3</v>
      </c>
      <c r="B112" s="37" t="s">
        <v>26</v>
      </c>
      <c r="C112" s="71"/>
      <c r="D112" s="57"/>
      <c r="E112" s="58">
        <f>109280+34420+12441+10004.99+3354+6120+4938.2+27353+34048.78+5831+7499+12441+19080.48+2308.85+7500+12441+3324+4475+7499+10005+12441+5000+34419.99+4475+7499+10005+12441+12441+10005+7499+4475+34421+28070.27+7499+10004.98+2615</f>
        <v>537675.5399999999</v>
      </c>
      <c r="F112" s="58"/>
    </row>
    <row r="113" spans="1:6" s="1" customFormat="1" ht="16.5" customHeight="1">
      <c r="A113" s="55">
        <v>4</v>
      </c>
      <c r="B113" s="37" t="s">
        <v>16</v>
      </c>
      <c r="C113" s="71"/>
      <c r="D113" s="57"/>
      <c r="E113" s="58">
        <f>52210.75+9655.43+22545.72+33198.71+19.29+140.85+1876.65+1905.25+2042.33+2953.15+22891.59+23543.04+4184+23543.04+2395.69+165.22+2561.33+1652.13+19064.33+2415.13</f>
        <v>228963.63</v>
      </c>
      <c r="F113" s="58"/>
    </row>
    <row r="114" spans="1:8" s="1" customFormat="1" ht="16.5" customHeight="1">
      <c r="A114" s="55">
        <v>5</v>
      </c>
      <c r="B114" s="37" t="s">
        <v>15</v>
      </c>
      <c r="C114" s="71"/>
      <c r="D114" s="57"/>
      <c r="E114" s="58">
        <f>4624.3+119+1183.5+591.75+170</f>
        <v>6688.55</v>
      </c>
      <c r="F114" s="58"/>
      <c r="H114" s="20"/>
    </row>
    <row r="115" spans="1:9" s="1" customFormat="1" ht="12.75">
      <c r="A115" s="55">
        <v>6</v>
      </c>
      <c r="B115" s="37" t="s">
        <v>64</v>
      </c>
      <c r="C115" s="71"/>
      <c r="D115" s="57"/>
      <c r="E115" s="58">
        <f>9520+61200+63240</f>
        <v>133960</v>
      </c>
      <c r="F115" s="58"/>
      <c r="H115" s="20"/>
      <c r="I115" s="19"/>
    </row>
    <row r="116" spans="1:167" ht="12.75">
      <c r="A116" s="55">
        <v>7</v>
      </c>
      <c r="B116" s="56"/>
      <c r="C116" s="56"/>
      <c r="D116" s="57"/>
      <c r="E116" s="58"/>
      <c r="F116" s="58"/>
      <c r="G116" s="1"/>
      <c r="H116" s="1"/>
      <c r="I116" s="1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1:167" ht="12.75">
      <c r="A117" s="55">
        <v>8</v>
      </c>
      <c r="B117" s="56"/>
      <c r="C117" s="56"/>
      <c r="D117" s="57"/>
      <c r="E117" s="58"/>
      <c r="F117" s="58"/>
      <c r="G117" s="1"/>
      <c r="H117" s="1"/>
      <c r="I117" s="1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1:167" ht="12.75">
      <c r="A118" s="73"/>
      <c r="B118" s="74"/>
      <c r="C118" s="74"/>
      <c r="D118" s="75"/>
      <c r="E118" s="76"/>
      <c r="F118" s="76"/>
      <c r="G118" s="1"/>
      <c r="H118" s="1"/>
      <c r="I118" s="1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7:167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:167" ht="12.75">
      <c r="A120" s="93" t="s">
        <v>9</v>
      </c>
      <c r="B120" s="93"/>
      <c r="C120" s="14">
        <f>C109+C89+C5+C6+C77</f>
        <v>52501823.8</v>
      </c>
      <c r="D120" s="3"/>
      <c r="E120" s="14">
        <f>E5+E89+E109+E77</f>
        <v>51064747.19</v>
      </c>
      <c r="F120" s="14">
        <f>C120-E120</f>
        <v>1437076.6099999994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7:167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7:167" ht="12.7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7:167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7:167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7:167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7:167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7:167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7:167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7:167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7:167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7:167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7:167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7:167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7:167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7:167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7:167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7:167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7:167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7:167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7:167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7:167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7:167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7:167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7:167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7:167" ht="12.7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7:167" ht="12.7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7:167" ht="12.7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7:167" ht="12.7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7:167" ht="12.7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7:167" ht="12.7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7:167" ht="12.7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7:167" ht="12.7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7:167" ht="12.7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7:167" ht="12.7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7:167" ht="12.7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7:167" ht="12.7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  <row r="157" spans="7:167" ht="12.7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</row>
    <row r="158" spans="7:167" ht="12.7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</row>
    <row r="159" spans="7:167" ht="12.7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</row>
    <row r="160" spans="7:167" ht="12.7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</row>
    <row r="161" spans="7:167" ht="12.7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7:167" ht="12.7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</row>
    <row r="163" spans="7:167" ht="12.7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</row>
    <row r="164" spans="7:167" ht="12.7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</row>
    <row r="165" spans="7:167" ht="12.7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</row>
    <row r="166" spans="7:167" ht="12.7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</row>
    <row r="167" spans="7:167" ht="12.7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</row>
    <row r="168" spans="7:167" ht="12.7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</row>
    <row r="169" spans="7:167" ht="12.7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</row>
    <row r="170" spans="7:167" ht="12.7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</row>
    <row r="171" spans="7:167" ht="12.7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</row>
    <row r="172" spans="7:167" ht="12.7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</row>
    <row r="173" spans="7:167" ht="12.7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</row>
    <row r="174" spans="7:167" ht="12.7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</row>
    <row r="175" spans="7:167" ht="12.7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</row>
    <row r="176" spans="7:167" ht="12.7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</row>
    <row r="177" spans="7:167" ht="12.7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</row>
    <row r="178" spans="7:167" ht="12.7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</row>
    <row r="179" spans="7:167" ht="12.7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</row>
    <row r="180" spans="7:167" ht="12.7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</row>
    <row r="181" spans="7:167" ht="12.7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</row>
    <row r="182" spans="7:167" ht="12.7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</row>
    <row r="183" spans="7:167" ht="12.7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</row>
    <row r="184" spans="7:167" ht="12.7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</row>
    <row r="185" spans="7:167" ht="12.7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</row>
    <row r="186" spans="7:167" ht="12.7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</row>
    <row r="187" spans="7:167" ht="12.7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</row>
    <row r="188" spans="7:167" ht="12.7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</row>
    <row r="189" spans="7:167" ht="12.7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</row>
    <row r="190" spans="7:167" ht="12.7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</row>
    <row r="191" spans="7:167" ht="12.7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</row>
    <row r="192" spans="7:167" ht="12.7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</row>
    <row r="193" spans="7:167" ht="12.7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</row>
    <row r="194" spans="7:167" ht="12.7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</row>
    <row r="195" spans="7:167" ht="12.7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</row>
    <row r="196" spans="7:167" ht="12.7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</row>
    <row r="197" spans="7:167" ht="12.7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</row>
    <row r="198" spans="7:167" ht="12.7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</row>
    <row r="199" spans="7:167" ht="12.75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</row>
    <row r="200" spans="7:167" ht="12.75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</row>
    <row r="201" spans="7:167" ht="12.75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</row>
    <row r="202" spans="7:167" ht="12.75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</row>
    <row r="203" spans="7:167" ht="12.75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</row>
    <row r="204" spans="7:167" ht="12.75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</row>
    <row r="205" spans="7:167" ht="12.75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</row>
    <row r="206" spans="7:167" ht="12.75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</row>
    <row r="207" spans="7:167" ht="12.75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</row>
    <row r="208" spans="7:167" ht="12.75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</row>
    <row r="209" spans="7:167" ht="12.75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</row>
    <row r="210" spans="7:167" ht="12.75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</row>
    <row r="211" spans="7:167" ht="12.75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</row>
    <row r="212" spans="7:167" ht="12.75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</row>
    <row r="213" spans="7:167" ht="12.75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</row>
    <row r="214" spans="7:167" ht="12.75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</row>
    <row r="215" spans="7:167" ht="12.75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</row>
    <row r="216" spans="7:167" ht="12.75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</row>
    <row r="217" spans="7:167" ht="12.75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</row>
    <row r="218" spans="7:167" ht="12.75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</row>
    <row r="219" spans="7:167" ht="12.75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</row>
    <row r="220" spans="7:167" ht="12.75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</row>
    <row r="221" spans="7:167" ht="12.75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</row>
    <row r="222" spans="7:167" ht="12.75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</row>
    <row r="223" spans="7:167" ht="12.75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</row>
    <row r="224" spans="7:167" ht="12.75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</row>
    <row r="225" spans="7:167" ht="12.75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</row>
    <row r="226" spans="7:167" ht="12.75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</row>
    <row r="227" spans="7:167" ht="12.75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</row>
    <row r="228" spans="7:167" ht="12.75"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</row>
    <row r="229" spans="7:167" ht="12.75"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</row>
    <row r="230" spans="7:167" ht="12.75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</row>
    <row r="231" spans="7:167" ht="12.75"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</row>
    <row r="232" spans="7:167" ht="12.75"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</row>
    <row r="233" spans="7:167" ht="12.75"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</row>
    <row r="234" spans="7:167" ht="12.75"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</row>
    <row r="235" spans="7:167" ht="12.75"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</row>
    <row r="236" spans="7:167" ht="12.75"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</row>
    <row r="237" spans="7:167" ht="12.75"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</row>
    <row r="238" spans="7:167" ht="12.75"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</row>
    <row r="239" spans="7:167" ht="12.75"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</row>
    <row r="240" spans="7:167" ht="12.75"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</row>
    <row r="241" spans="7:167" ht="12.75"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</row>
    <row r="242" spans="7:167" ht="12.75"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</row>
    <row r="243" spans="7:167" ht="12.75"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</row>
    <row r="244" spans="7:167" ht="12.75"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</row>
    <row r="245" spans="7:167" ht="12.75"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</row>
    <row r="246" spans="7:167" ht="12.75"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</row>
    <row r="247" spans="7:167" ht="12.75"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</row>
    <row r="248" spans="7:167" ht="12.75"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</row>
    <row r="249" spans="7:167" ht="12.75"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</row>
    <row r="250" spans="7:167" ht="12.75"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</row>
  </sheetData>
  <sheetProtection/>
  <mergeCells count="14">
    <mergeCell ref="A1:F1"/>
    <mergeCell ref="A3:F3"/>
    <mergeCell ref="B4:C4"/>
    <mergeCell ref="A5:B6"/>
    <mergeCell ref="C5:C6"/>
    <mergeCell ref="D5:D6"/>
    <mergeCell ref="E5:E6"/>
    <mergeCell ref="F5:F6"/>
    <mergeCell ref="A120:B120"/>
    <mergeCell ref="A76:F76"/>
    <mergeCell ref="A87:F87"/>
    <mergeCell ref="A89:B89"/>
    <mergeCell ref="A107:F107"/>
    <mergeCell ref="A109:B10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Анджей</cp:lastModifiedBy>
  <cp:lastPrinted>2012-06-07T15:14:33Z</cp:lastPrinted>
  <dcterms:created xsi:type="dcterms:W3CDTF">1996-10-08T23:32:33Z</dcterms:created>
  <dcterms:modified xsi:type="dcterms:W3CDTF">2012-06-07T17:02:28Z</dcterms:modified>
  <cp:category/>
  <cp:version/>
  <cp:contentType/>
  <cp:contentStatus/>
</cp:coreProperties>
</file>