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3" r:id="rId1"/>
    <sheet name="Доходы" sheetId="11" r:id="rId2"/>
    <sheet name="Расходы" sheetId="12" r:id="rId3"/>
  </sheets>
  <calcPr calcId="144525"/>
</workbook>
</file>

<file path=xl/calcChain.xml><?xml version="1.0" encoding="utf-8"?>
<calcChain xmlns="http://schemas.openxmlformats.org/spreadsheetml/2006/main">
  <c r="B9" i="13" l="1"/>
  <c r="L20" i="11" l="1"/>
  <c r="K20" i="11"/>
  <c r="M18" i="11"/>
  <c r="M19" i="11"/>
  <c r="J20" i="11"/>
  <c r="H20" i="11"/>
  <c r="E23" i="11"/>
  <c r="B20" i="11"/>
  <c r="Q18" i="11"/>
  <c r="R18" i="11" s="1"/>
  <c r="Q19" i="11"/>
  <c r="R19" i="11" s="1"/>
  <c r="P15" i="12"/>
  <c r="L15" i="12"/>
  <c r="L29" i="12"/>
  <c r="M29" i="12"/>
  <c r="N29" i="12"/>
  <c r="N7" i="12"/>
  <c r="P22" i="12"/>
  <c r="H19" i="13"/>
  <c r="B8" i="13" l="1"/>
  <c r="B7" i="13"/>
  <c r="B10" i="13" l="1"/>
  <c r="Q23" i="11" l="1"/>
  <c r="M23" i="11"/>
  <c r="I23" i="11"/>
  <c r="E28" i="12"/>
  <c r="L28" i="12"/>
  <c r="K28" i="12"/>
  <c r="I28" i="12"/>
  <c r="I36" i="12"/>
  <c r="P10" i="12"/>
  <c r="C6" i="12"/>
  <c r="P6" i="12"/>
  <c r="P5" i="12"/>
  <c r="P13" i="12"/>
  <c r="P16" i="12"/>
  <c r="P14" i="12"/>
  <c r="P7" i="12"/>
  <c r="P11" i="12"/>
  <c r="O24" i="12"/>
  <c r="B28" i="13" s="1"/>
  <c r="P33" i="12"/>
  <c r="M33" i="12"/>
  <c r="O33" i="12" s="1"/>
  <c r="Q33" i="12" s="1"/>
  <c r="L30" i="12"/>
  <c r="K29" i="12"/>
  <c r="P23" i="12"/>
  <c r="J29" i="12"/>
  <c r="P35" i="12"/>
  <c r="P17" i="12"/>
  <c r="I29" i="12"/>
  <c r="O35" i="12"/>
  <c r="P36" i="12"/>
  <c r="P19" i="12"/>
  <c r="P34" i="12"/>
  <c r="P18" i="12"/>
  <c r="P20" i="12"/>
  <c r="I12" i="12"/>
  <c r="Q10" i="11"/>
  <c r="Q11" i="11"/>
  <c r="Q12" i="11"/>
  <c r="Q13" i="11"/>
  <c r="Q14" i="11"/>
  <c r="Q15" i="11"/>
  <c r="Q16" i="11"/>
  <c r="Q17" i="11"/>
  <c r="Q20" i="11"/>
  <c r="Q9" i="11"/>
  <c r="M10" i="11"/>
  <c r="M11" i="11"/>
  <c r="M12" i="11"/>
  <c r="M13" i="11"/>
  <c r="M14" i="11"/>
  <c r="M15" i="11"/>
  <c r="M16" i="11"/>
  <c r="M17" i="11"/>
  <c r="M20" i="11"/>
  <c r="M9" i="11"/>
  <c r="I10" i="11"/>
  <c r="I11" i="11"/>
  <c r="I12" i="11"/>
  <c r="I13" i="11"/>
  <c r="I14" i="11"/>
  <c r="I15" i="11"/>
  <c r="I16" i="11"/>
  <c r="I17" i="11"/>
  <c r="I20" i="11"/>
  <c r="I9" i="11"/>
  <c r="E10" i="11"/>
  <c r="E11" i="11"/>
  <c r="E12" i="11"/>
  <c r="E13" i="11"/>
  <c r="E14" i="11"/>
  <c r="R14" i="11" s="1"/>
  <c r="E15" i="11"/>
  <c r="R15" i="11" s="1"/>
  <c r="E16" i="11"/>
  <c r="R16" i="11" s="1"/>
  <c r="E17" i="11"/>
  <c r="E20" i="11"/>
  <c r="E9" i="11"/>
  <c r="O11" i="12"/>
  <c r="B15" i="13" s="1"/>
  <c r="O12" i="12"/>
  <c r="B16" i="13" s="1"/>
  <c r="O13" i="12"/>
  <c r="B17" i="13" s="1"/>
  <c r="O15" i="12"/>
  <c r="B19" i="13" s="1"/>
  <c r="O16" i="12"/>
  <c r="B20" i="13" s="1"/>
  <c r="O17" i="12"/>
  <c r="B21" i="13" s="1"/>
  <c r="O18" i="12"/>
  <c r="B22" i="13" s="1"/>
  <c r="O19" i="12"/>
  <c r="B23" i="13" s="1"/>
  <c r="O21" i="12"/>
  <c r="B25" i="13" s="1"/>
  <c r="O23" i="12"/>
  <c r="B27" i="13" s="1"/>
  <c r="O36" i="12"/>
  <c r="Q36" i="12" s="1"/>
  <c r="O25" i="12"/>
  <c r="B29" i="13" s="1"/>
  <c r="O29" i="12"/>
  <c r="B33" i="13" s="1"/>
  <c r="O30" i="12"/>
  <c r="O10" i="12"/>
  <c r="B14" i="13" s="1"/>
  <c r="O6" i="12"/>
  <c r="O7" i="12"/>
  <c r="O5" i="12"/>
  <c r="R17" i="11" l="1"/>
  <c r="C8" i="13" s="1"/>
  <c r="H8" i="13" s="1"/>
  <c r="R12" i="11"/>
  <c r="R13" i="11"/>
  <c r="R11" i="11"/>
  <c r="R20" i="11"/>
  <c r="R10" i="11"/>
  <c r="Q30" i="12"/>
  <c r="B34" i="13"/>
  <c r="Q5" i="12"/>
  <c r="H14" i="13"/>
  <c r="Q6" i="12"/>
  <c r="H15" i="13"/>
  <c r="Q25" i="12"/>
  <c r="Q23" i="12"/>
  <c r="Q7" i="12"/>
  <c r="H16" i="13"/>
  <c r="Q10" i="12"/>
  <c r="Q21" i="12"/>
  <c r="Q18" i="12"/>
  <c r="Q16" i="12"/>
  <c r="Q13" i="12"/>
  <c r="Q11" i="12"/>
  <c r="P8" i="12"/>
  <c r="Q17" i="12"/>
  <c r="Q15" i="12"/>
  <c r="Q12" i="12"/>
  <c r="Q24" i="12"/>
  <c r="P37" i="12"/>
  <c r="E21" i="11"/>
  <c r="M21" i="11"/>
  <c r="R23" i="11"/>
  <c r="R27" i="11" s="1"/>
  <c r="R9" i="11"/>
  <c r="C7" i="13" s="1"/>
  <c r="Q35" i="12"/>
  <c r="P29" i="12"/>
  <c r="P31" i="12" s="1"/>
  <c r="Q19" i="12"/>
  <c r="O8" i="12"/>
  <c r="E9" i="13" s="1"/>
  <c r="Q21" i="11"/>
  <c r="N14" i="12"/>
  <c r="O14" i="12" s="1"/>
  <c r="B18" i="13" s="1"/>
  <c r="P21" i="11"/>
  <c r="R29" i="11" s="1"/>
  <c r="O21" i="11"/>
  <c r="N21" i="11"/>
  <c r="L21" i="11"/>
  <c r="F21" i="11"/>
  <c r="D21" i="11"/>
  <c r="C9" i="13" l="1"/>
  <c r="R21" i="11"/>
  <c r="R26" i="11" s="1"/>
  <c r="R30" i="11" s="1"/>
  <c r="D7" i="13" s="1"/>
  <c r="H7" i="13" s="1"/>
  <c r="Q8" i="12"/>
  <c r="Q14" i="12"/>
  <c r="P38" i="12"/>
  <c r="H13" i="13"/>
  <c r="Q29" i="12"/>
  <c r="H28" i="12"/>
  <c r="G28" i="12"/>
  <c r="F28" i="12"/>
  <c r="H27" i="12"/>
  <c r="D27" i="12"/>
  <c r="E27" i="12"/>
  <c r="F27" i="12"/>
  <c r="G27" i="12"/>
  <c r="C27" i="12"/>
  <c r="H26" i="12"/>
  <c r="G26" i="12"/>
  <c r="F26" i="12"/>
  <c r="E26" i="12"/>
  <c r="D26" i="12"/>
  <c r="C26" i="12"/>
  <c r="G9" i="13" l="1"/>
  <c r="D9" i="13"/>
  <c r="H9" i="13"/>
  <c r="C10" i="13"/>
  <c r="O28" i="12"/>
  <c r="B32" i="13" s="1"/>
  <c r="O26" i="12"/>
  <c r="B30" i="13" s="1"/>
  <c r="O27" i="12"/>
  <c r="B31" i="13" s="1"/>
  <c r="G34" i="12"/>
  <c r="O34" i="12" s="1"/>
  <c r="D22" i="12"/>
  <c r="O22" i="12" s="1"/>
  <c r="B26" i="13" s="1"/>
  <c r="C20" i="12"/>
  <c r="O20" i="12" s="1"/>
  <c r="B24" i="13" s="1"/>
  <c r="K21" i="11"/>
  <c r="J21" i="11"/>
  <c r="H21" i="11"/>
  <c r="G21" i="11"/>
  <c r="C21" i="11"/>
  <c r="B21" i="11"/>
  <c r="B24" i="11" s="1"/>
  <c r="C24" i="11" l="1"/>
  <c r="D24" i="11" s="1"/>
  <c r="F24" i="11" s="1"/>
  <c r="E24" i="11"/>
  <c r="G24" i="11"/>
  <c r="H24" i="11"/>
  <c r="I24" i="11" s="1"/>
  <c r="B13" i="13"/>
  <c r="B37" i="13" s="1"/>
  <c r="B40" i="13" s="1"/>
  <c r="F9" i="13"/>
  <c r="Q28" i="12"/>
  <c r="Q22" i="12"/>
  <c r="Q27" i="12"/>
  <c r="Q26" i="12"/>
  <c r="Q34" i="12"/>
  <c r="Q37" i="12" s="1"/>
  <c r="O37" i="12"/>
  <c r="E8" i="13" s="1"/>
  <c r="Q20" i="12"/>
  <c r="O31" i="12"/>
  <c r="I21" i="11"/>
  <c r="J24" i="11" l="1"/>
  <c r="K24" i="11" s="1"/>
  <c r="L24" i="11" s="1"/>
  <c r="N24" i="11" s="1"/>
  <c r="O24" i="11" s="1"/>
  <c r="P24" i="11" s="1"/>
  <c r="R28" i="11" s="1"/>
  <c r="D10" i="13"/>
  <c r="H10" i="13"/>
  <c r="Q31" i="12"/>
  <c r="Q38" i="12" s="1"/>
  <c r="Q41" i="12" s="1"/>
  <c r="O38" i="12"/>
  <c r="E7" i="13"/>
  <c r="G8" i="13"/>
  <c r="F8" i="13"/>
  <c r="G7" i="13" l="1"/>
  <c r="G10" i="13" s="1"/>
  <c r="E10" i="13"/>
  <c r="F7" i="13"/>
  <c r="F10" i="13" s="1"/>
</calcChain>
</file>

<file path=xl/comments1.xml><?xml version="1.0" encoding="utf-8"?>
<comments xmlns="http://schemas.openxmlformats.org/spreadsheetml/2006/main">
  <authors>
    <author>Автор</author>
  </authors>
  <commentList>
    <comment ref="L15" authorId="0">
      <text>
        <r>
          <rPr>
            <b/>
            <sz val="9"/>
            <color indexed="81"/>
            <rFont val="Tahoma"/>
            <family val="2"/>
            <charset val="204"/>
          </rPr>
          <t>1100 за установку лампы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<sst xmlns="http://schemas.openxmlformats.org/spreadsheetml/2006/main" count="162" uniqueCount="134">
  <si>
    <t>Сод. жилья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</si>
  <si>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</si>
  <si>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</si>
  <si>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</si>
  <si>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</si>
  <si>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</si>
  <si>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</si>
  <si>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</si>
  <si>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</si>
  <si>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</si>
  <si>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</si>
  <si>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Резерв на текущий ремонт</t>
  </si>
  <si>
    <t>Наименование услуги</t>
  </si>
  <si>
    <t>Отопление</t>
  </si>
  <si>
    <t>Гор/вода</t>
  </si>
  <si>
    <t>1 квартал 2011 года</t>
  </si>
  <si>
    <t>2 квартал 2011 года</t>
  </si>
  <si>
    <t>3 квартал 2011 года</t>
  </si>
  <si>
    <t>ООО "Парадный вход"</t>
  </si>
  <si>
    <t>ООО "Инженерные системы плюс"</t>
  </si>
  <si>
    <t>МУП "Томский энергокомплекс"</t>
  </si>
  <si>
    <t>ОАО "ТГК-11"</t>
  </si>
  <si>
    <t>УМП "Спецавтохозяйство г. Томска"</t>
  </si>
  <si>
    <t>ОАО "Томская энергосбытовая компания"</t>
  </si>
  <si>
    <t>ООО "Томская лифтовая компания"</t>
  </si>
  <si>
    <t>УМП "ЕРКЦ г. Томска"</t>
  </si>
  <si>
    <t>ООО "Фирма Томсктелеком"</t>
  </si>
  <si>
    <t>ООО "Техноцентр"</t>
  </si>
  <si>
    <t>ООО "Эрголайт"</t>
  </si>
  <si>
    <t>ИП Немчинов</t>
  </si>
  <si>
    <t>ТОМСКИЕ НОВОСТИ</t>
  </si>
  <si>
    <t>ООО ТД "Источное"</t>
  </si>
  <si>
    <t>ИП Назаров</t>
  </si>
  <si>
    <t>ИП Надымов</t>
  </si>
  <si>
    <t>Заработная плата</t>
  </si>
  <si>
    <t>Страховые взносы в ПФР</t>
  </si>
  <si>
    <t>Страховые взносы в ФСС</t>
  </si>
  <si>
    <t>Расход подотчетных средств</t>
  </si>
  <si>
    <t>Услуги банка</t>
  </si>
  <si>
    <t>Хол. Вода</t>
  </si>
  <si>
    <t>х/в ГВС</t>
  </si>
  <si>
    <t>эл. эн. МОП</t>
  </si>
  <si>
    <t>Канализация</t>
  </si>
  <si>
    <t>Гараж</t>
  </si>
  <si>
    <t>Пени</t>
  </si>
  <si>
    <t>Октябрь</t>
  </si>
  <si>
    <t>Ноябрь</t>
  </si>
  <si>
    <t>Декабрь</t>
  </si>
  <si>
    <t>4 квартал 2011 года</t>
  </si>
  <si>
    <t>ООО ОФ "Барс"</t>
  </si>
  <si>
    <t>ООО "Видеосервис"</t>
  </si>
  <si>
    <t>Раздел № 1: Поставщики коммунальных услуг</t>
  </si>
  <si>
    <t>Всего начислено</t>
  </si>
  <si>
    <t>Всего уплачено</t>
  </si>
  <si>
    <t>Итого по Разделу № 1</t>
  </si>
  <si>
    <t>Таблица №2</t>
  </si>
  <si>
    <t>Товарищество собственников жилья "Северянин-2"</t>
  </si>
  <si>
    <t>Начислено собственникам квартир за 2011 год</t>
  </si>
  <si>
    <t>Всего начислено за 2 кв. 2011 года</t>
  </si>
  <si>
    <t>Всего начислено за 1 кв. 2011 года</t>
  </si>
  <si>
    <t>Всего начислено за 3 кв. 2011 года</t>
  </si>
  <si>
    <t>Всего начислено за 4 кв. 2011 года</t>
  </si>
  <si>
    <t>Всего начислено за 2011 год</t>
  </si>
  <si>
    <t>Задолженность собственников квартир на 31.12.2011, в том числе за декабрь 2011 года</t>
  </si>
  <si>
    <t>Задолженность собственников квартир на 31.12.2011 за декабрь 2011 года</t>
  </si>
  <si>
    <t xml:space="preserve">Процент оплаты за ЖКУ </t>
  </si>
  <si>
    <t>Задолженность собственников квартир на 01.01.2011</t>
  </si>
  <si>
    <t>ООО "Генстрой"</t>
  </si>
  <si>
    <t>Подписка на журнал</t>
  </si>
  <si>
    <t>Раздел № 2 : Содержание жилья</t>
  </si>
  <si>
    <t>Раздел № 3 : Текущий ремонт</t>
  </si>
  <si>
    <t>Итого по Разделу № 2</t>
  </si>
  <si>
    <t>Итого по Разделу № 3</t>
  </si>
  <si>
    <t>ООО "Крон.Арм"</t>
  </si>
  <si>
    <t>Оплата за ЖКУ</t>
  </si>
  <si>
    <t>Денежные средства</t>
  </si>
  <si>
    <t>на р/с</t>
  </si>
  <si>
    <t>в кассе</t>
  </si>
  <si>
    <t>Итого задолженность по затратам</t>
  </si>
  <si>
    <t>ВСЕГО</t>
  </si>
  <si>
    <t>Таблица № 1</t>
  </si>
  <si>
    <t>Начислено</t>
  </si>
  <si>
    <t>Оплачено</t>
  </si>
  <si>
    <t>Затрачено</t>
  </si>
  <si>
    <t xml:space="preserve">Содержание жилья </t>
  </si>
  <si>
    <t>Текущий ремонт</t>
  </si>
  <si>
    <t>Коммунальные услуги</t>
  </si>
  <si>
    <t>Итого:</t>
  </si>
  <si>
    <t>Содержание жилья</t>
  </si>
  <si>
    <t>ООО "Томскводоканал"</t>
  </si>
  <si>
    <t>Вода, в/отвед.</t>
  </si>
  <si>
    <t>Теплоэнергия</t>
  </si>
  <si>
    <t>Вывоз мусора</t>
  </si>
  <si>
    <t>Электроэнергия</t>
  </si>
  <si>
    <t>Расчет средней стоимости тарифа на содержание жилья за 2011 год</t>
  </si>
  <si>
    <t>Затраты на содержание (руб)</t>
  </si>
  <si>
    <t>Площадь (м2)</t>
  </si>
  <si>
    <t>Количество месяцев</t>
  </si>
  <si>
    <t>Среднегодовой тариф (руб)</t>
  </si>
  <si>
    <t>Отчет о финансово-хозяйственной деятельности ТСЖ "Северянин-2" за 2011 год</t>
  </si>
  <si>
    <t>Сальдо на начало года</t>
  </si>
  <si>
    <t>Председатель правления ТСЖ "Северянин-2"</t>
  </si>
  <si>
    <t>В.Я. Карельский</t>
  </si>
  <si>
    <t>Текущий остаток (затрачено+долг-оплачено)</t>
  </si>
  <si>
    <t>6=5+2-4</t>
  </si>
  <si>
    <t>Текущий остаток (долг+начислено-затрачено</t>
  </si>
  <si>
    <t>7=2+3-5</t>
  </si>
  <si>
    <t>Ремонт</t>
  </si>
  <si>
    <t>Расход п/о на хоз. нужды</t>
  </si>
  <si>
    <t>Прочие</t>
  </si>
  <si>
    <t>замена труб</t>
  </si>
  <si>
    <t>замена окон. блок</t>
  </si>
  <si>
    <t>трубопровод г/в</t>
  </si>
  <si>
    <t>Печать квитанций</t>
  </si>
  <si>
    <t>Видеонаблюдение</t>
  </si>
  <si>
    <t>Бух. Налоговый учет</t>
  </si>
  <si>
    <t>Чистка канализации</t>
  </si>
  <si>
    <t>Вст. Взнос</t>
  </si>
  <si>
    <t>Долги</t>
  </si>
  <si>
    <t>Таблица № 3</t>
  </si>
  <si>
    <t>Сальдо на 01.01.2011</t>
  </si>
  <si>
    <t>Долг на 01.01.2012</t>
  </si>
  <si>
    <t>Оплачено собственниками квартир на 31.12.2011</t>
  </si>
  <si>
    <t>8=2+3-4</t>
  </si>
  <si>
    <t>Задолженность (долг+начислено-оплачено)</t>
  </si>
  <si>
    <t>ИП Надымов, альпинист, швы</t>
  </si>
  <si>
    <t>ИП Немчинов, уборка двора и подъе</t>
  </si>
  <si>
    <t>Охрана фира "Барс"</t>
  </si>
  <si>
    <t>ООО "Фирма Томсклеском"</t>
  </si>
  <si>
    <t>ООО "Парадный вход", двери пласт.</t>
  </si>
  <si>
    <t>ООО "Генстрой", пластиковые окна в подъездах</t>
  </si>
  <si>
    <t>ООО "Крон.Арм", фирма "Роща"</t>
  </si>
  <si>
    <t xml:space="preserve"> Пластиковые окна</t>
  </si>
  <si>
    <t>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</si>
</sst>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/>
    <xf numFmtId="0" fontId="0" fillId="3" borderId="1" xfId="0" applyFill="1" applyBorder="1" applyAlignment="1"/>
    <xf numFmtId="0" fontId="2" fillId="3" borderId="1" xfId="0" applyFont="1" applyFill="1" applyBorder="1" applyAlignment="1"/>
    <xf numFmtId="4" fontId="0" fillId="3" borderId="1" xfId="0" applyNumberFormat="1" applyFont="1" applyFill="1" applyBorder="1" applyAlignment="1"/>
    <xf numFmtId="4" fontId="0" fillId="0" borderId="0" xfId="0" applyNumberFormat="1" applyAlignment="1"/>
    <xf numFmtId="4" fontId="0" fillId="3" borderId="0" xfId="0" applyNumberFormat="1" applyFont="1" applyFill="1" applyBorder="1" applyAlignme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2" borderId="1" xfId="0" applyNumberFormat="1" applyFill="1" applyBorder="1"/>
    <xf numFmtId="4" fontId="3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0" fillId="0" borderId="3" xfId="0" applyBorder="1"/>
    <xf numFmtId="4" fontId="0" fillId="0" borderId="3" xfId="0" applyNumberFormat="1" applyBorder="1"/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4" fontId="7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10" fontId="7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/>
    <xf numFmtId="4" fontId="2" fillId="4" borderId="1" xfId="0" applyNumberFormat="1" applyFont="1" applyFill="1" applyBorder="1" applyAlignment="1"/>
    <xf numFmtId="4" fontId="0" fillId="3" borderId="1" xfId="0" applyNumberFormat="1" applyFill="1" applyBorder="1"/>
    <xf numFmtId="4" fontId="9" fillId="0" borderId="1" xfId="0" applyNumberFormat="1" applyFont="1" applyBorder="1"/>
    <xf numFmtId="0" fontId="0" fillId="3" borderId="0" xfId="0" applyFill="1" applyAlignment="1"/>
    <xf numFmtId="0" fontId="0" fillId="0" borderId="1" xfId="0" applyBorder="1" applyAlignment="1"/>
    <xf numFmtId="4" fontId="0" fillId="0" borderId="1" xfId="0" applyNumberFormat="1" applyBorder="1" applyAlignme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3" fillId="4" borderId="1" xfId="0" applyNumberFormat="1" applyFont="1" applyFill="1" applyBorder="1"/>
    <xf numFmtId="0" fontId="5" fillId="0" borderId="0" xfId="0" applyFont="1"/>
    <xf numFmtId="0" fontId="11" fillId="0" borderId="0" xfId="1" applyFont="1"/>
    <xf numFmtId="0" fontId="13" fillId="0" borderId="1" xfId="1" applyFont="1" applyBorder="1"/>
    <xf numFmtId="0" fontId="14" fillId="0" borderId="1" xfId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left"/>
    </xf>
    <xf numFmtId="0" fontId="11" fillId="0" borderId="1" xfId="1" applyFont="1" applyBorder="1"/>
    <xf numFmtId="4" fontId="11" fillId="0" borderId="1" xfId="1" applyNumberFormat="1" applyFont="1" applyBorder="1"/>
    <xf numFmtId="0" fontId="15" fillId="0" borderId="1" xfId="1" applyFont="1" applyBorder="1" applyAlignment="1">
      <alignment horizontal="right"/>
    </xf>
    <xf numFmtId="4" fontId="15" fillId="0" borderId="1" xfId="1" applyNumberFormat="1" applyFont="1" applyBorder="1"/>
    <xf numFmtId="4" fontId="5" fillId="0" borderId="0" xfId="0" applyNumberFormat="1" applyFont="1"/>
    <xf numFmtId="0" fontId="15" fillId="0" borderId="1" xfId="1" applyFont="1" applyBorder="1" applyAlignment="1">
      <alignment horizontal="left" vertical="center"/>
    </xf>
    <xf numFmtId="4" fontId="15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4" fontId="11" fillId="0" borderId="1" xfId="1" applyNumberFormat="1" applyFont="1" applyBorder="1" applyAlignment="1">
      <alignment vertical="center" wrapText="1"/>
    </xf>
    <xf numFmtId="4" fontId="15" fillId="0" borderId="1" xfId="1" applyNumberFormat="1" applyFont="1" applyBorder="1" applyAlignment="1">
      <alignment vertical="center" wrapText="1"/>
    </xf>
    <xf numFmtId="0" fontId="5" fillId="0" borderId="9" xfId="0" applyFont="1" applyBorder="1"/>
    <xf numFmtId="4" fontId="11" fillId="0" borderId="0" xfId="1" applyNumberFormat="1" applyFont="1"/>
    <xf numFmtId="0" fontId="11" fillId="0" borderId="0" xfId="1" applyFont="1" applyBorder="1" applyAlignment="1">
      <alignment horizontal="left" vertical="center" wrapText="1"/>
    </xf>
    <xf numFmtId="0" fontId="5" fillId="0" borderId="0" xfId="0" applyFont="1" applyBorder="1"/>
    <xf numFmtId="4" fontId="5" fillId="0" borderId="0" xfId="0" applyNumberFormat="1" applyFont="1" applyBorder="1" applyAlignment="1">
      <alignment horizontal="right"/>
    </xf>
    <xf numFmtId="4" fontId="9" fillId="0" borderId="1" xfId="0" applyNumberFormat="1" applyFont="1" applyBorder="1" applyAlignment="1"/>
    <xf numFmtId="4" fontId="7" fillId="4" borderId="3" xfId="0" applyNumberFormat="1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0" fillId="0" borderId="1" xfId="0" applyFill="1" applyBorder="1"/>
    <xf numFmtId="0" fontId="11" fillId="0" borderId="1" xfId="1" applyFont="1" applyFill="1" applyBorder="1"/>
    <xf numFmtId="0" fontId="12" fillId="0" borderId="0" xfId="1" applyFont="1" applyAlignment="1">
      <alignment horizontal="center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B19" zoomScale="90" zoomScaleNormal="90" workbookViewId="0">
      <selection activeCell="D25" sqref="D25"/>
    </sheetView>
  </sheetViews>
  <sheetFormatPr defaultRowHeight="15.75" x14ac:dyDescent="0.25"/>
  <cols>
    <col min="1" max="1" width="33.7109375" style="33" customWidth="1"/>
    <col min="2" max="8" width="16.28515625" style="33" customWidth="1"/>
    <col min="9" max="9" width="11.28515625" style="33" bestFit="1" customWidth="1"/>
    <col min="10" max="10" width="12.5703125" style="33" customWidth="1"/>
    <col min="11" max="11" width="11.28515625" style="33" bestFit="1" customWidth="1"/>
    <col min="12" max="12" width="13.140625" style="33" bestFit="1" customWidth="1"/>
    <col min="13" max="16384" width="9.140625" style="33"/>
  </cols>
  <sheetData>
    <row r="1" spans="1:12" x14ac:dyDescent="0.25">
      <c r="H1" s="62" t="s">
        <v>80</v>
      </c>
    </row>
    <row r="2" spans="1:12" x14ac:dyDescent="0.25">
      <c r="A2" s="34"/>
      <c r="B2" s="34"/>
      <c r="C2" s="34"/>
      <c r="D2" s="34"/>
      <c r="E2" s="34"/>
      <c r="F2" s="34"/>
      <c r="G2" s="34"/>
      <c r="H2" s="34"/>
    </row>
    <row r="3" spans="1:12" ht="18.75" x14ac:dyDescent="0.3">
      <c r="A3" s="65" t="s">
        <v>99</v>
      </c>
      <c r="B3" s="65"/>
      <c r="C3" s="65"/>
      <c r="D3" s="65"/>
      <c r="E3" s="65"/>
      <c r="F3" s="65"/>
      <c r="G3" s="65"/>
      <c r="H3" s="65"/>
    </row>
    <row r="4" spans="1:12" x14ac:dyDescent="0.25">
      <c r="A4" s="34"/>
      <c r="B4" s="34"/>
      <c r="C4" s="34"/>
      <c r="D4" s="34"/>
      <c r="E4" s="34"/>
      <c r="F4" s="34"/>
      <c r="G4" s="34"/>
      <c r="H4" s="34"/>
    </row>
    <row r="5" spans="1:12" ht="38.25" x14ac:dyDescent="0.25">
      <c r="A5" s="35"/>
      <c r="B5" s="36" t="s">
        <v>100</v>
      </c>
      <c r="C5" s="36" t="s">
        <v>81</v>
      </c>
      <c r="D5" s="36" t="s">
        <v>82</v>
      </c>
      <c r="E5" s="36" t="s">
        <v>83</v>
      </c>
      <c r="F5" s="36" t="s">
        <v>103</v>
      </c>
      <c r="G5" s="36" t="s">
        <v>105</v>
      </c>
      <c r="H5" s="36" t="s">
        <v>124</v>
      </c>
    </row>
    <row r="6" spans="1:12" x14ac:dyDescent="0.25">
      <c r="A6" s="37">
        <v>1</v>
      </c>
      <c r="B6" s="38">
        <v>2</v>
      </c>
      <c r="C6" s="38">
        <v>3</v>
      </c>
      <c r="D6" s="38">
        <v>4</v>
      </c>
      <c r="E6" s="38">
        <v>5</v>
      </c>
      <c r="F6" s="38" t="s">
        <v>104</v>
      </c>
      <c r="G6" s="38" t="s">
        <v>106</v>
      </c>
      <c r="H6" s="38" t="s">
        <v>123</v>
      </c>
    </row>
    <row r="7" spans="1:12" x14ac:dyDescent="0.25">
      <c r="A7" s="39" t="s">
        <v>84</v>
      </c>
      <c r="B7" s="41">
        <f>167209.65+22105.04+55.46+471.72</f>
        <v>189841.87</v>
      </c>
      <c r="C7" s="41">
        <f>Доходы!R9+Доходы!R14+Доходы!R15+Доходы!R20+Доходы!R18+Доходы!R19</f>
        <v>1663907.7099999997</v>
      </c>
      <c r="D7" s="41">
        <f>(B7+C7)*Доходы!R30+174173.52</f>
        <v>1802458.5638687511</v>
      </c>
      <c r="E7" s="41">
        <f>Расходы!O31</f>
        <v>1574483.4300000002</v>
      </c>
      <c r="F7" s="41">
        <f>E7+B7-D7</f>
        <v>-38133.263868750772</v>
      </c>
      <c r="G7" s="41">
        <f>B7+C7-E7</f>
        <v>279266.14999999944</v>
      </c>
      <c r="H7" s="41">
        <f>B7+C7-D7</f>
        <v>51291.016131248558</v>
      </c>
      <c r="I7" s="44"/>
      <c r="J7" s="44"/>
    </row>
    <row r="8" spans="1:12" x14ac:dyDescent="0.25">
      <c r="A8" s="39" t="s">
        <v>85</v>
      </c>
      <c r="B8" s="41">
        <f>4491.87+16125.13+465304.8</f>
        <v>485921.8</v>
      </c>
      <c r="C8" s="41">
        <f>Доходы!R17</f>
        <v>316847.43</v>
      </c>
      <c r="D8" s="41">
        <v>349489.4</v>
      </c>
      <c r="E8" s="41">
        <f>Расходы!O37</f>
        <v>512603.94999999995</v>
      </c>
      <c r="F8" s="41">
        <f>E8+B8-D8</f>
        <v>649036.35</v>
      </c>
      <c r="G8" s="41">
        <f t="shared" ref="G8" si="0">B8+C8-E8</f>
        <v>290165.28000000003</v>
      </c>
      <c r="H8" s="41">
        <f t="shared" ref="H8" si="1">B8+C8-D8</f>
        <v>453279.82999999996</v>
      </c>
      <c r="I8" s="44"/>
      <c r="J8" s="44"/>
    </row>
    <row r="9" spans="1:12" x14ac:dyDescent="0.25">
      <c r="A9" s="39" t="s">
        <v>86</v>
      </c>
      <c r="B9" s="41">
        <f>347544.65</f>
        <v>347544.65</v>
      </c>
      <c r="C9" s="41">
        <f>Доходы!R10+Доходы!R11+Доходы!R12+Доходы!R13+Доходы!R16</f>
        <v>3998559.8099999991</v>
      </c>
      <c r="D9" s="41">
        <f>(B9+C9)*Доходы!R30+181468.53</f>
        <v>3998972.7752655735</v>
      </c>
      <c r="E9" s="41">
        <f>Расходы!O8</f>
        <v>4057695.09</v>
      </c>
      <c r="F9" s="41">
        <f>E9+B9-D9</f>
        <v>406266.9647344267</v>
      </c>
      <c r="G9" s="41">
        <f>B9+C9-E9</f>
        <v>288409.36999999918</v>
      </c>
      <c r="H9" s="41">
        <f>B9+C9-D9</f>
        <v>347131.68473442551</v>
      </c>
      <c r="I9" s="44"/>
      <c r="J9" s="44"/>
    </row>
    <row r="10" spans="1:12" x14ac:dyDescent="0.25">
      <c r="A10" s="42" t="s">
        <v>87</v>
      </c>
      <c r="B10" s="43">
        <f>SUM(B7:B9)</f>
        <v>1023308.32</v>
      </c>
      <c r="C10" s="43">
        <f t="shared" ref="C10:H10" si="2">SUM(C7:C9)</f>
        <v>5979314.9499999993</v>
      </c>
      <c r="D10" s="43">
        <f t="shared" si="2"/>
        <v>6150920.7391343247</v>
      </c>
      <c r="E10" s="43">
        <f t="shared" si="2"/>
        <v>6144782.4699999997</v>
      </c>
      <c r="F10" s="43">
        <f t="shared" si="2"/>
        <v>1017170.0508656759</v>
      </c>
      <c r="G10" s="43">
        <f t="shared" si="2"/>
        <v>857840.79999999865</v>
      </c>
      <c r="H10" s="43">
        <f t="shared" si="2"/>
        <v>851702.53086567402</v>
      </c>
      <c r="I10" s="44"/>
      <c r="K10" s="44"/>
    </row>
    <row r="11" spans="1:12" x14ac:dyDescent="0.25">
      <c r="A11" s="34"/>
      <c r="B11" s="34"/>
      <c r="C11" s="34"/>
      <c r="D11" s="34"/>
      <c r="E11" s="55"/>
      <c r="F11" s="55"/>
      <c r="G11" s="34"/>
      <c r="H11" s="34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</row>
    <row r="13" spans="1:12" ht="15.75" customHeight="1" x14ac:dyDescent="0.25">
      <c r="A13" s="45" t="s">
        <v>88</v>
      </c>
      <c r="B13" s="46">
        <f>SUM(B14:B34)</f>
        <v>1574483.4300000002</v>
      </c>
      <c r="C13" s="34"/>
      <c r="D13" s="66" t="s">
        <v>86</v>
      </c>
      <c r="E13" s="67"/>
      <c r="F13" s="67"/>
      <c r="G13" s="68"/>
      <c r="H13" s="46">
        <f>SUM(H14:H16)</f>
        <v>4057695.09</v>
      </c>
    </row>
    <row r="14" spans="1:12" ht="15.75" customHeight="1" x14ac:dyDescent="0.25">
      <c r="A14" s="15" t="s">
        <v>113</v>
      </c>
      <c r="B14" s="47">
        <f>Расходы!O10</f>
        <v>21131.899999999998</v>
      </c>
      <c r="C14" s="34"/>
      <c r="D14" s="69" t="s">
        <v>89</v>
      </c>
      <c r="E14" s="70"/>
      <c r="F14" s="71"/>
      <c r="G14" s="40" t="s">
        <v>90</v>
      </c>
      <c r="H14" s="48">
        <f>Расходы!O5</f>
        <v>1046037.55</v>
      </c>
      <c r="L14" s="44"/>
    </row>
    <row r="15" spans="1:12" ht="15.75" customHeight="1" x14ac:dyDescent="0.25">
      <c r="A15" s="10" t="s">
        <v>92</v>
      </c>
      <c r="B15" s="47">
        <f>Расходы!O11</f>
        <v>239375.14999999997</v>
      </c>
      <c r="C15" s="34"/>
      <c r="D15" s="69" t="s">
        <v>21</v>
      </c>
      <c r="E15" s="70"/>
      <c r="F15" s="71"/>
      <c r="G15" s="40" t="s">
        <v>91</v>
      </c>
      <c r="H15" s="48">
        <f>Расходы!O6</f>
        <v>2963836.7899999996</v>
      </c>
      <c r="L15" s="44"/>
    </row>
    <row r="16" spans="1:12" ht="15.75" customHeight="1" x14ac:dyDescent="0.25">
      <c r="A16" s="10" t="s">
        <v>24</v>
      </c>
      <c r="B16" s="47">
        <f>Расходы!O12</f>
        <v>402850.73000000004</v>
      </c>
      <c r="C16" s="34"/>
      <c r="D16" s="69" t="s">
        <v>23</v>
      </c>
      <c r="E16" s="70"/>
      <c r="F16" s="71"/>
      <c r="G16" s="49" t="s">
        <v>93</v>
      </c>
      <c r="H16" s="50">
        <f>Расходы!O7</f>
        <v>47820.75</v>
      </c>
    </row>
    <row r="17" spans="1:8" x14ac:dyDescent="0.25">
      <c r="A17" s="10" t="s">
        <v>127</v>
      </c>
      <c r="B17" s="47">
        <f>Расходы!O13</f>
        <v>8000</v>
      </c>
      <c r="C17" s="34"/>
      <c r="D17" s="34"/>
      <c r="E17" s="34"/>
    </row>
    <row r="18" spans="1:8" x14ac:dyDescent="0.25">
      <c r="A18" s="10" t="s">
        <v>114</v>
      </c>
      <c r="B18" s="47">
        <f>Расходы!O14</f>
        <v>22200</v>
      </c>
      <c r="C18" s="34"/>
      <c r="D18" s="34"/>
      <c r="E18" s="34"/>
    </row>
    <row r="19" spans="1:8" x14ac:dyDescent="0.25">
      <c r="A19" s="10" t="s">
        <v>126</v>
      </c>
      <c r="B19" s="47">
        <f>Расходы!O15</f>
        <v>205500</v>
      </c>
      <c r="C19" s="34"/>
      <c r="D19" s="66" t="s">
        <v>107</v>
      </c>
      <c r="E19" s="67"/>
      <c r="F19" s="67"/>
      <c r="G19" s="68"/>
      <c r="H19" s="46">
        <f>SUM(H20:H23)</f>
        <v>512603.94999999995</v>
      </c>
    </row>
    <row r="20" spans="1:8" ht="15.75" customHeight="1" x14ac:dyDescent="0.25">
      <c r="A20" s="10" t="s">
        <v>115</v>
      </c>
      <c r="B20" s="47">
        <f>Расходы!O16</f>
        <v>24000</v>
      </c>
      <c r="C20" s="34"/>
      <c r="D20" s="74" t="s">
        <v>132</v>
      </c>
      <c r="E20" s="75"/>
      <c r="F20" s="76"/>
      <c r="G20" s="64" t="s">
        <v>133</v>
      </c>
      <c r="H20" s="48">
        <v>181000</v>
      </c>
    </row>
    <row r="21" spans="1:8" x14ac:dyDescent="0.25">
      <c r="A21" s="10" t="s">
        <v>125</v>
      </c>
      <c r="B21" s="47">
        <f>Расходы!O17</f>
        <v>5000</v>
      </c>
      <c r="C21" s="34"/>
      <c r="D21" s="69" t="s">
        <v>31</v>
      </c>
      <c r="E21" s="70"/>
      <c r="F21" s="71"/>
      <c r="G21" s="40" t="s">
        <v>110</v>
      </c>
      <c r="H21" s="48">
        <v>37101.599999999999</v>
      </c>
    </row>
    <row r="22" spans="1:8" ht="15.75" customHeight="1" x14ac:dyDescent="0.25">
      <c r="A22" s="63" t="s">
        <v>128</v>
      </c>
      <c r="B22" s="47">
        <f>Расходы!O18</f>
        <v>1655</v>
      </c>
      <c r="C22" s="34"/>
      <c r="D22" s="69" t="s">
        <v>130</v>
      </c>
      <c r="E22" s="70"/>
      <c r="F22" s="71"/>
      <c r="G22" s="49" t="s">
        <v>111</v>
      </c>
      <c r="H22" s="50">
        <v>174275.38</v>
      </c>
    </row>
    <row r="23" spans="1:8" ht="15.75" customHeight="1" x14ac:dyDescent="0.25">
      <c r="A23" s="10" t="s">
        <v>19</v>
      </c>
      <c r="B23" s="47">
        <f>Расходы!O19</f>
        <v>10800</v>
      </c>
      <c r="D23" s="69" t="s">
        <v>131</v>
      </c>
      <c r="E23" s="70"/>
      <c r="F23" s="71"/>
      <c r="G23" s="49" t="s">
        <v>112</v>
      </c>
      <c r="H23" s="50">
        <v>120226.97</v>
      </c>
    </row>
    <row r="24" spans="1:8" ht="15.75" customHeight="1" x14ac:dyDescent="0.25">
      <c r="A24" s="10" t="s">
        <v>129</v>
      </c>
      <c r="B24" s="47">
        <f>Расходы!O20</f>
        <v>59940.380000000005</v>
      </c>
      <c r="D24" s="56"/>
      <c r="E24" s="56"/>
      <c r="F24" s="56"/>
      <c r="G24" s="57"/>
      <c r="H24" s="58"/>
    </row>
    <row r="25" spans="1:8" ht="15.75" customHeight="1" x14ac:dyDescent="0.25">
      <c r="A25" s="10" t="s">
        <v>27</v>
      </c>
      <c r="B25" s="47">
        <f>Расходы!O21</f>
        <v>1499</v>
      </c>
      <c r="D25" s="56"/>
      <c r="E25" s="56"/>
      <c r="F25" s="56"/>
      <c r="G25" s="57"/>
      <c r="H25" s="58"/>
    </row>
    <row r="26" spans="1:8" ht="15.75" customHeight="1" x14ac:dyDescent="0.25">
      <c r="A26" s="10" t="s">
        <v>28</v>
      </c>
      <c r="B26" s="47">
        <f>Расходы!O22</f>
        <v>3180</v>
      </c>
      <c r="D26" s="56"/>
      <c r="E26" s="56"/>
      <c r="F26" s="56"/>
      <c r="G26" s="57"/>
      <c r="H26" s="58"/>
    </row>
    <row r="27" spans="1:8" ht="15.75" customHeight="1" x14ac:dyDescent="0.25">
      <c r="A27" s="10" t="s">
        <v>30</v>
      </c>
      <c r="B27" s="47">
        <f>Расходы!O23</f>
        <v>2000</v>
      </c>
      <c r="D27" s="56"/>
      <c r="E27" s="56"/>
      <c r="F27" s="56"/>
      <c r="G27" s="57"/>
      <c r="H27" s="58"/>
    </row>
    <row r="28" spans="1:8" ht="15.75" customHeight="1" x14ac:dyDescent="0.25">
      <c r="A28" s="10" t="s">
        <v>68</v>
      </c>
      <c r="B28" s="47">
        <f>Расходы!O24</f>
        <v>1000</v>
      </c>
      <c r="D28" s="56"/>
      <c r="E28" s="56"/>
      <c r="F28" s="56"/>
      <c r="G28" s="57"/>
      <c r="H28" s="58"/>
    </row>
    <row r="29" spans="1:8" ht="15.75" customHeight="1" x14ac:dyDescent="0.25">
      <c r="A29" s="10" t="s">
        <v>34</v>
      </c>
      <c r="B29" s="47">
        <f>Расходы!O25</f>
        <v>280392</v>
      </c>
      <c r="D29" s="56"/>
      <c r="E29" s="56"/>
      <c r="F29" s="56"/>
      <c r="G29" s="57"/>
      <c r="H29" s="58"/>
    </row>
    <row r="30" spans="1:8" ht="15.75" customHeight="1" x14ac:dyDescent="0.25">
      <c r="A30" s="10" t="s">
        <v>35</v>
      </c>
      <c r="B30" s="47">
        <f>Расходы!O26</f>
        <v>77364</v>
      </c>
      <c r="D30" s="56"/>
      <c r="E30" s="56"/>
      <c r="F30" s="56"/>
      <c r="G30" s="57"/>
      <c r="H30" s="58"/>
    </row>
    <row r="31" spans="1:8" ht="15.75" customHeight="1" x14ac:dyDescent="0.25">
      <c r="A31" s="10" t="s">
        <v>36</v>
      </c>
      <c r="B31" s="47">
        <f>Расходы!O27</f>
        <v>7711.56</v>
      </c>
      <c r="D31" s="56"/>
      <c r="E31" s="56"/>
      <c r="F31" s="56"/>
      <c r="G31" s="57"/>
      <c r="H31" s="58"/>
    </row>
    <row r="32" spans="1:8" ht="15.75" customHeight="1" x14ac:dyDescent="0.25">
      <c r="A32" s="10" t="s">
        <v>108</v>
      </c>
      <c r="B32" s="47">
        <f>Расходы!O28</f>
        <v>184546.23</v>
      </c>
      <c r="D32" s="56"/>
      <c r="E32" s="56"/>
      <c r="F32" s="56"/>
      <c r="G32" s="57"/>
      <c r="H32" s="58"/>
    </row>
    <row r="33" spans="1:8" ht="15.75" customHeight="1" x14ac:dyDescent="0.25">
      <c r="A33" s="10" t="s">
        <v>38</v>
      </c>
      <c r="B33" s="47">
        <f>Расходы!O29</f>
        <v>16283.48</v>
      </c>
      <c r="D33" s="56"/>
      <c r="E33" s="56"/>
      <c r="F33" s="56"/>
      <c r="G33" s="57"/>
      <c r="H33" s="58"/>
    </row>
    <row r="34" spans="1:8" ht="15.75" customHeight="1" x14ac:dyDescent="0.25">
      <c r="A34" s="10" t="s">
        <v>109</v>
      </c>
      <c r="B34" s="47">
        <f>Расходы!O30</f>
        <v>54</v>
      </c>
      <c r="D34" s="56"/>
      <c r="E34" s="56"/>
      <c r="F34" s="56"/>
      <c r="G34" s="57"/>
      <c r="H34" s="58"/>
    </row>
    <row r="35" spans="1:8" ht="15.75" customHeight="1" x14ac:dyDescent="0.25">
      <c r="D35" s="56"/>
      <c r="E35" s="56"/>
      <c r="F35" s="56"/>
      <c r="G35" s="57"/>
      <c r="H35" s="58"/>
    </row>
    <row r="36" spans="1:8" ht="31.5" customHeight="1" x14ac:dyDescent="0.25">
      <c r="A36" s="72" t="s">
        <v>94</v>
      </c>
      <c r="B36" s="72"/>
    </row>
    <row r="37" spans="1:8" ht="17.25" customHeight="1" x14ac:dyDescent="0.25">
      <c r="A37" s="51" t="s">
        <v>95</v>
      </c>
      <c r="B37" s="52">
        <f>B13</f>
        <v>1574483.4300000002</v>
      </c>
    </row>
    <row r="38" spans="1:8" x14ac:dyDescent="0.25">
      <c r="A38" s="51" t="s">
        <v>96</v>
      </c>
      <c r="B38" s="52">
        <v>11649</v>
      </c>
    </row>
    <row r="39" spans="1:8" x14ac:dyDescent="0.25">
      <c r="A39" s="51" t="s">
        <v>97</v>
      </c>
      <c r="B39" s="52">
        <v>12</v>
      </c>
    </row>
    <row r="40" spans="1:8" x14ac:dyDescent="0.25">
      <c r="A40" s="51" t="s">
        <v>98</v>
      </c>
      <c r="B40" s="53">
        <f>B37/B38/B39</f>
        <v>11.263366168769851</v>
      </c>
    </row>
    <row r="42" spans="1:8" x14ac:dyDescent="0.25">
      <c r="A42" s="73" t="s">
        <v>101</v>
      </c>
      <c r="B42" s="73"/>
      <c r="D42" s="54"/>
      <c r="F42" s="33" t="s">
        <v>102</v>
      </c>
    </row>
  </sheetData>
  <mergeCells count="12">
    <mergeCell ref="A36:B36"/>
    <mergeCell ref="A42:B42"/>
    <mergeCell ref="D19:G19"/>
    <mergeCell ref="D20:F20"/>
    <mergeCell ref="D21:F21"/>
    <mergeCell ref="D22:F22"/>
    <mergeCell ref="D23:F23"/>
    <mergeCell ref="A3:H3"/>
    <mergeCell ref="D13:G13"/>
    <mergeCell ref="D14:F14"/>
    <mergeCell ref="D15:F15"/>
    <mergeCell ref="D16:F16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opLeftCell="A4" workbookViewId="0">
      <selection activeCell="M28" sqref="M28:Q28"/>
    </sheetView>
  </sheetViews>
  <sheetFormatPr defaultColWidth="19" defaultRowHeight="15" x14ac:dyDescent="0.25"/>
  <cols>
    <col min="1" max="1" width="25.7109375" style="1" customWidth="1"/>
    <col min="2" max="2" width="11.85546875" style="1" customWidth="1"/>
    <col min="3" max="3" width="11.7109375" style="1" customWidth="1"/>
    <col min="4" max="4" width="10.7109375" style="1" customWidth="1"/>
    <col min="5" max="5" width="12.7109375" style="1" customWidth="1"/>
    <col min="6" max="8" width="10.7109375" style="1" customWidth="1"/>
    <col min="9" max="9" width="12.7109375" style="1" customWidth="1"/>
    <col min="10" max="12" width="10.7109375" style="1" customWidth="1"/>
    <col min="13" max="13" width="12.7109375" style="1" customWidth="1"/>
    <col min="14" max="16" width="10.7109375" style="1" customWidth="1"/>
    <col min="17" max="18" width="12.7109375" style="1" customWidth="1"/>
    <col min="19" max="16384" width="19" style="1"/>
  </cols>
  <sheetData>
    <row r="1" spans="1:18" ht="15.7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8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R3" s="1" t="s">
        <v>55</v>
      </c>
    </row>
    <row r="4" spans="1:18" ht="18.75" x14ac:dyDescent="0.3">
      <c r="A4" s="91" t="s">
        <v>56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6" spans="1:18" x14ac:dyDescent="0.25">
      <c r="A6" s="92" t="s">
        <v>57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x14ac:dyDescent="0.25">
      <c r="A7" s="87" t="s">
        <v>12</v>
      </c>
      <c r="B7" s="89" t="s">
        <v>15</v>
      </c>
      <c r="C7" s="90"/>
      <c r="D7" s="90"/>
      <c r="E7" s="90"/>
      <c r="F7" s="78" t="s">
        <v>16</v>
      </c>
      <c r="G7" s="78"/>
      <c r="H7" s="78"/>
      <c r="I7" s="78"/>
      <c r="J7" s="78" t="s">
        <v>17</v>
      </c>
      <c r="K7" s="78"/>
      <c r="L7" s="78"/>
      <c r="M7" s="78"/>
      <c r="N7" s="78" t="s">
        <v>48</v>
      </c>
      <c r="O7" s="78"/>
      <c r="P7" s="78"/>
      <c r="Q7" s="78"/>
      <c r="R7" s="93" t="s">
        <v>62</v>
      </c>
    </row>
    <row r="8" spans="1:18" ht="36" x14ac:dyDescent="0.25">
      <c r="A8" s="88"/>
      <c r="B8" s="2" t="s">
        <v>2</v>
      </c>
      <c r="C8" s="2" t="s">
        <v>3</v>
      </c>
      <c r="D8" s="2" t="s">
        <v>4</v>
      </c>
      <c r="E8" s="22" t="s">
        <v>59</v>
      </c>
      <c r="F8" s="2" t="s">
        <v>5</v>
      </c>
      <c r="G8" s="2" t="s">
        <v>6</v>
      </c>
      <c r="H8" s="2" t="s">
        <v>7</v>
      </c>
      <c r="I8" s="22" t="s">
        <v>58</v>
      </c>
      <c r="J8" s="2" t="s">
        <v>8</v>
      </c>
      <c r="K8" s="2" t="s">
        <v>9</v>
      </c>
      <c r="L8" s="2" t="s">
        <v>10</v>
      </c>
      <c r="M8" s="22" t="s">
        <v>60</v>
      </c>
      <c r="N8" s="2" t="s">
        <v>45</v>
      </c>
      <c r="O8" s="2" t="s">
        <v>46</v>
      </c>
      <c r="P8" s="2" t="s">
        <v>47</v>
      </c>
      <c r="Q8" s="22" t="s">
        <v>61</v>
      </c>
      <c r="R8" s="94"/>
    </row>
    <row r="9" spans="1:18" ht="15" customHeight="1" x14ac:dyDescent="0.25">
      <c r="A9" s="4" t="s">
        <v>0</v>
      </c>
      <c r="B9" s="3">
        <v>136974.25</v>
      </c>
      <c r="C9" s="3">
        <v>137050.21</v>
      </c>
      <c r="D9" s="3">
        <v>137001.57999999999</v>
      </c>
      <c r="E9" s="23">
        <f>SUM(B9:D9)</f>
        <v>411026.03999999992</v>
      </c>
      <c r="F9" s="3">
        <v>137009.09</v>
      </c>
      <c r="G9" s="3">
        <v>137009.09</v>
      </c>
      <c r="H9" s="3">
        <v>137395.35</v>
      </c>
      <c r="I9" s="23">
        <f>SUM(F9:H9)</f>
        <v>411413.53</v>
      </c>
      <c r="J9" s="3">
        <v>135341.62</v>
      </c>
      <c r="K9" s="3">
        <v>134630.46</v>
      </c>
      <c r="L9" s="3">
        <v>134630.46</v>
      </c>
      <c r="M9" s="23">
        <f>SUM(J9:L9)</f>
        <v>404602.53999999992</v>
      </c>
      <c r="N9" s="3">
        <v>134630.46</v>
      </c>
      <c r="O9" s="3">
        <v>135162.99</v>
      </c>
      <c r="P9" s="3">
        <v>135162.99</v>
      </c>
      <c r="Q9" s="23">
        <f>SUM(N9:P9)</f>
        <v>404956.43999999994</v>
      </c>
      <c r="R9" s="24">
        <f>E9+I9+M9+Q9</f>
        <v>1631998.5499999998</v>
      </c>
    </row>
    <row r="10" spans="1:18" ht="15" customHeight="1" x14ac:dyDescent="0.25">
      <c r="A10" s="4" t="s">
        <v>39</v>
      </c>
      <c r="B10" s="3">
        <v>63271.11</v>
      </c>
      <c r="C10" s="3">
        <v>55553.58</v>
      </c>
      <c r="D10" s="3">
        <v>51022.99</v>
      </c>
      <c r="E10" s="23">
        <f t="shared" ref="E10:E20" si="0">SUM(B10:D10)</f>
        <v>169847.67999999999</v>
      </c>
      <c r="F10" s="3">
        <v>48689.34</v>
      </c>
      <c r="G10" s="3">
        <v>51883.69</v>
      </c>
      <c r="H10" s="3">
        <v>51957.7</v>
      </c>
      <c r="I10" s="23">
        <f t="shared" ref="I10:I20" si="1">SUM(F10:H10)</f>
        <v>152530.72999999998</v>
      </c>
      <c r="J10" s="3">
        <v>46805.39</v>
      </c>
      <c r="K10" s="3">
        <v>23781.07</v>
      </c>
      <c r="L10" s="3">
        <v>29506.01</v>
      </c>
      <c r="M10" s="23">
        <f t="shared" ref="M10:M20" si="2">SUM(J10:L10)</f>
        <v>100092.46999999999</v>
      </c>
      <c r="N10" s="3">
        <v>35628.79</v>
      </c>
      <c r="O10" s="3"/>
      <c r="P10" s="3"/>
      <c r="Q10" s="23">
        <f t="shared" ref="Q10:Q20" si="3">SUM(N10:P10)</f>
        <v>35628.79</v>
      </c>
      <c r="R10" s="24">
        <f t="shared" ref="R10:R20" si="4">E10+I10+M10+Q10</f>
        <v>458099.66999999993</v>
      </c>
    </row>
    <row r="11" spans="1:18" ht="15.75" x14ac:dyDescent="0.25">
      <c r="A11" s="4" t="s">
        <v>14</v>
      </c>
      <c r="B11" s="3">
        <v>68061.820000000007</v>
      </c>
      <c r="C11" s="3">
        <v>63536.15</v>
      </c>
      <c r="D11" s="3">
        <v>62782.77</v>
      </c>
      <c r="E11" s="23">
        <f t="shared" si="0"/>
        <v>194380.74</v>
      </c>
      <c r="F11" s="3">
        <v>69101.64</v>
      </c>
      <c r="G11" s="3">
        <v>69579.66</v>
      </c>
      <c r="H11" s="3">
        <v>60717.23</v>
      </c>
      <c r="I11" s="23">
        <f t="shared" si="1"/>
        <v>199398.53</v>
      </c>
      <c r="J11" s="3">
        <v>13587.81</v>
      </c>
      <c r="K11" s="3">
        <v>73241.39</v>
      </c>
      <c r="L11" s="3">
        <v>91999.82</v>
      </c>
      <c r="M11" s="23">
        <f t="shared" si="2"/>
        <v>178829.02000000002</v>
      </c>
      <c r="N11" s="3">
        <v>68844.759999999995</v>
      </c>
      <c r="O11" s="3">
        <v>67416.5</v>
      </c>
      <c r="P11" s="3">
        <v>61442.89</v>
      </c>
      <c r="Q11" s="23">
        <f t="shared" si="3"/>
        <v>197704.15000000002</v>
      </c>
      <c r="R11" s="24">
        <f t="shared" si="4"/>
        <v>770312.44000000006</v>
      </c>
    </row>
    <row r="12" spans="1:18" ht="15.75" x14ac:dyDescent="0.25">
      <c r="A12" s="4" t="s">
        <v>13</v>
      </c>
      <c r="B12" s="3">
        <v>439975.21</v>
      </c>
      <c r="C12" s="3">
        <v>378450.49</v>
      </c>
      <c r="D12" s="3">
        <v>250397.17</v>
      </c>
      <c r="E12" s="23">
        <f t="shared" si="0"/>
        <v>1068822.8699999999</v>
      </c>
      <c r="F12" s="3">
        <v>142974.98000000001</v>
      </c>
      <c r="G12" s="3">
        <v>76672.820000000007</v>
      </c>
      <c r="H12" s="3">
        <v>9698.4</v>
      </c>
      <c r="I12" s="23">
        <f t="shared" si="1"/>
        <v>229346.2</v>
      </c>
      <c r="J12" s="3">
        <v>0</v>
      </c>
      <c r="K12" s="3">
        <v>0</v>
      </c>
      <c r="L12" s="3">
        <v>0</v>
      </c>
      <c r="M12" s="23">
        <f t="shared" si="2"/>
        <v>0</v>
      </c>
      <c r="N12" s="3">
        <v>136686.79999999999</v>
      </c>
      <c r="O12" s="3">
        <v>319654.98</v>
      </c>
      <c r="P12" s="3">
        <v>427373.67</v>
      </c>
      <c r="Q12" s="23">
        <f t="shared" si="3"/>
        <v>883715.45</v>
      </c>
      <c r="R12" s="24">
        <f t="shared" si="4"/>
        <v>2181884.5199999996</v>
      </c>
    </row>
    <row r="13" spans="1:18" ht="15.75" x14ac:dyDescent="0.25">
      <c r="A13" s="4" t="s">
        <v>40</v>
      </c>
      <c r="B13" s="3">
        <v>10767.41</v>
      </c>
      <c r="C13" s="3">
        <v>12047.35</v>
      </c>
      <c r="D13" s="3">
        <v>12381.15</v>
      </c>
      <c r="E13" s="23">
        <f t="shared" si="0"/>
        <v>35195.910000000003</v>
      </c>
      <c r="F13" s="3">
        <v>14247.65</v>
      </c>
      <c r="G13" s="3">
        <v>14433.21</v>
      </c>
      <c r="H13" s="3">
        <v>11366.62</v>
      </c>
      <c r="I13" s="23">
        <f t="shared" si="1"/>
        <v>40047.480000000003</v>
      </c>
      <c r="J13" s="3">
        <v>4733.55</v>
      </c>
      <c r="K13" s="3">
        <v>27208.720000000001</v>
      </c>
      <c r="L13" s="3">
        <v>27371.66</v>
      </c>
      <c r="M13" s="23">
        <f t="shared" si="2"/>
        <v>59313.93</v>
      </c>
      <c r="N13" s="3">
        <v>26841.919999999998</v>
      </c>
      <c r="O13" s="3"/>
      <c r="P13" s="3"/>
      <c r="Q13" s="23">
        <f t="shared" si="3"/>
        <v>26841.919999999998</v>
      </c>
      <c r="R13" s="24">
        <f t="shared" si="4"/>
        <v>161399.24</v>
      </c>
    </row>
    <row r="14" spans="1:18" ht="15.75" x14ac:dyDescent="0.25">
      <c r="A14" s="4" t="s">
        <v>41</v>
      </c>
      <c r="B14" s="3">
        <v>330</v>
      </c>
      <c r="C14" s="3">
        <v>500</v>
      </c>
      <c r="D14" s="3">
        <v>500</v>
      </c>
      <c r="E14" s="23">
        <f t="shared" si="0"/>
        <v>1330</v>
      </c>
      <c r="F14" s="3">
        <v>400</v>
      </c>
      <c r="G14" s="3">
        <v>450</v>
      </c>
      <c r="H14" s="3">
        <v>450</v>
      </c>
      <c r="I14" s="23">
        <f t="shared" si="1"/>
        <v>1300</v>
      </c>
      <c r="J14" s="3">
        <v>450</v>
      </c>
      <c r="K14" s="3">
        <v>450</v>
      </c>
      <c r="L14" s="3">
        <v>450</v>
      </c>
      <c r="M14" s="23">
        <f t="shared" si="2"/>
        <v>1350</v>
      </c>
      <c r="N14" s="3">
        <v>450</v>
      </c>
      <c r="O14" s="3">
        <v>450</v>
      </c>
      <c r="P14" s="3">
        <v>450</v>
      </c>
      <c r="Q14" s="23">
        <f t="shared" si="3"/>
        <v>1350</v>
      </c>
      <c r="R14" s="24">
        <f t="shared" si="4"/>
        <v>5330</v>
      </c>
    </row>
    <row r="15" spans="1:18" ht="15.75" x14ac:dyDescent="0.25">
      <c r="A15" s="4" t="s">
        <v>43</v>
      </c>
      <c r="B15" s="3">
        <v>460</v>
      </c>
      <c r="C15" s="3">
        <v>460</v>
      </c>
      <c r="D15" s="3">
        <v>460</v>
      </c>
      <c r="E15" s="23">
        <f t="shared" si="0"/>
        <v>1380</v>
      </c>
      <c r="F15" s="3">
        <v>460</v>
      </c>
      <c r="G15" s="3">
        <v>460</v>
      </c>
      <c r="H15" s="3">
        <v>460</v>
      </c>
      <c r="I15" s="23">
        <f t="shared" si="1"/>
        <v>1380</v>
      </c>
      <c r="J15" s="3">
        <v>460</v>
      </c>
      <c r="K15" s="3">
        <v>460</v>
      </c>
      <c r="L15" s="3">
        <v>500</v>
      </c>
      <c r="M15" s="23">
        <f t="shared" si="2"/>
        <v>1420</v>
      </c>
      <c r="N15" s="3">
        <v>500</v>
      </c>
      <c r="O15" s="3">
        <v>500</v>
      </c>
      <c r="P15" s="3">
        <v>500</v>
      </c>
      <c r="Q15" s="23">
        <f t="shared" si="3"/>
        <v>1500</v>
      </c>
      <c r="R15" s="24">
        <f t="shared" si="4"/>
        <v>5680</v>
      </c>
    </row>
    <row r="16" spans="1:18" ht="15.75" x14ac:dyDescent="0.25">
      <c r="A16" s="4" t="s">
        <v>42</v>
      </c>
      <c r="B16" s="3">
        <v>51050.77</v>
      </c>
      <c r="C16" s="3">
        <v>46582.27</v>
      </c>
      <c r="D16" s="3">
        <v>43683.29</v>
      </c>
      <c r="E16" s="23">
        <f t="shared" si="0"/>
        <v>141316.32999999999</v>
      </c>
      <c r="F16" s="3">
        <v>43362.38</v>
      </c>
      <c r="G16" s="3">
        <v>45691.47</v>
      </c>
      <c r="H16" s="3">
        <v>43615.51</v>
      </c>
      <c r="I16" s="23">
        <f t="shared" si="1"/>
        <v>132669.36000000002</v>
      </c>
      <c r="J16" s="3">
        <v>35508.639999999999</v>
      </c>
      <c r="K16" s="3">
        <v>35141.660000000003</v>
      </c>
      <c r="L16" s="3">
        <v>39186.69</v>
      </c>
      <c r="M16" s="23">
        <f t="shared" si="2"/>
        <v>109836.99</v>
      </c>
      <c r="N16" s="3">
        <v>43041.26</v>
      </c>
      <c r="O16" s="3"/>
      <c r="P16" s="3"/>
      <c r="Q16" s="23">
        <f t="shared" si="3"/>
        <v>43041.26</v>
      </c>
      <c r="R16" s="24">
        <f t="shared" si="4"/>
        <v>426863.94</v>
      </c>
    </row>
    <row r="17" spans="1:19" ht="15" customHeight="1" x14ac:dyDescent="0.25">
      <c r="A17" s="4" t="s">
        <v>11</v>
      </c>
      <c r="B17" s="3">
        <v>35179.35</v>
      </c>
      <c r="C17" s="3">
        <v>35200.83</v>
      </c>
      <c r="D17" s="3">
        <v>35188.410000000003</v>
      </c>
      <c r="E17" s="23">
        <f t="shared" si="0"/>
        <v>105568.59</v>
      </c>
      <c r="F17" s="3">
        <v>35190.22</v>
      </c>
      <c r="G17" s="3">
        <v>35190.22</v>
      </c>
      <c r="H17" s="3">
        <v>35257.71</v>
      </c>
      <c r="I17" s="23">
        <f t="shared" si="1"/>
        <v>105638.15</v>
      </c>
      <c r="J17" s="3">
        <v>35198.07</v>
      </c>
      <c r="K17" s="3">
        <v>35221.31</v>
      </c>
      <c r="L17" s="3">
        <v>35221.31</v>
      </c>
      <c r="M17" s="23">
        <f t="shared" si="2"/>
        <v>105640.69</v>
      </c>
      <c r="N17" s="3"/>
      <c r="O17" s="3"/>
      <c r="P17" s="3"/>
      <c r="Q17" s="23">
        <f t="shared" si="3"/>
        <v>0</v>
      </c>
      <c r="R17" s="24">
        <f t="shared" si="4"/>
        <v>316847.43</v>
      </c>
    </row>
    <row r="18" spans="1:19" ht="15" customHeight="1" x14ac:dyDescent="0.25">
      <c r="A18" s="4" t="s">
        <v>116</v>
      </c>
      <c r="B18" s="3"/>
      <c r="C18" s="3"/>
      <c r="D18" s="3"/>
      <c r="E18" s="23"/>
      <c r="F18" s="3"/>
      <c r="G18" s="3"/>
      <c r="H18" s="3"/>
      <c r="I18" s="23"/>
      <c r="J18" s="3"/>
      <c r="K18" s="3"/>
      <c r="L18" s="3"/>
      <c r="M18" s="23">
        <f t="shared" si="2"/>
        <v>0</v>
      </c>
      <c r="N18" s="3">
        <v>1800</v>
      </c>
      <c r="O18" s="3"/>
      <c r="P18" s="3"/>
      <c r="Q18" s="23">
        <f t="shared" si="3"/>
        <v>1800</v>
      </c>
      <c r="R18" s="24">
        <f t="shared" si="4"/>
        <v>1800</v>
      </c>
    </row>
    <row r="19" spans="1:19" ht="15" customHeight="1" x14ac:dyDescent="0.25">
      <c r="A19" s="4" t="s">
        <v>117</v>
      </c>
      <c r="B19" s="3"/>
      <c r="C19" s="3"/>
      <c r="D19" s="3"/>
      <c r="E19" s="23"/>
      <c r="F19" s="3"/>
      <c r="G19" s="3"/>
      <c r="H19" s="3"/>
      <c r="I19" s="23"/>
      <c r="J19" s="3"/>
      <c r="K19" s="3">
        <v>500</v>
      </c>
      <c r="L19" s="3"/>
      <c r="M19" s="23">
        <f t="shared" si="2"/>
        <v>500</v>
      </c>
      <c r="N19" s="3">
        <v>1000</v>
      </c>
      <c r="O19" s="3"/>
      <c r="P19" s="3"/>
      <c r="Q19" s="23">
        <f t="shared" si="3"/>
        <v>1000</v>
      </c>
      <c r="R19" s="24">
        <f t="shared" si="4"/>
        <v>1500</v>
      </c>
    </row>
    <row r="20" spans="1:19" ht="15.75" x14ac:dyDescent="0.25">
      <c r="A20" s="4" t="s">
        <v>44</v>
      </c>
      <c r="B20" s="3">
        <f>1527.06-3299.34-45.4</f>
        <v>-1817.6800000000003</v>
      </c>
      <c r="C20" s="3">
        <v>1857.7</v>
      </c>
      <c r="D20" s="3">
        <v>2020.95</v>
      </c>
      <c r="E20" s="23">
        <f t="shared" si="0"/>
        <v>2060.9699999999998</v>
      </c>
      <c r="F20" s="3">
        <v>2511.81</v>
      </c>
      <c r="G20" s="3">
        <v>2073.2199999999998</v>
      </c>
      <c r="H20" s="3">
        <f>1920.12+62.43</f>
        <v>1982.55</v>
      </c>
      <c r="I20" s="23">
        <f t="shared" si="1"/>
        <v>6567.58</v>
      </c>
      <c r="J20" s="3">
        <f>1892.22+12.12</f>
        <v>1904.34</v>
      </c>
      <c r="K20" s="3">
        <f>1239.48+6.15</f>
        <v>1245.6300000000001</v>
      </c>
      <c r="L20" s="3">
        <f>1475.46</f>
        <v>1475.46</v>
      </c>
      <c r="M20" s="23">
        <f t="shared" si="2"/>
        <v>4625.43</v>
      </c>
      <c r="N20" s="3">
        <v>1313.78</v>
      </c>
      <c r="O20" s="3">
        <v>1452.95</v>
      </c>
      <c r="P20" s="3">
        <v>1578.45</v>
      </c>
      <c r="Q20" s="23">
        <f t="shared" si="3"/>
        <v>4345.18</v>
      </c>
      <c r="R20" s="24">
        <f t="shared" si="4"/>
        <v>17599.16</v>
      </c>
    </row>
    <row r="21" spans="1:19" ht="15.75" x14ac:dyDescent="0.25">
      <c r="A21" s="5" t="s">
        <v>1</v>
      </c>
      <c r="B21" s="6">
        <f t="shared" ref="B21:H21" si="5">SUM(B9:B20)</f>
        <v>804252.24</v>
      </c>
      <c r="C21" s="6">
        <f t="shared" si="5"/>
        <v>731238.57999999984</v>
      </c>
      <c r="D21" s="6">
        <f t="shared" si="5"/>
        <v>595438.31000000006</v>
      </c>
      <c r="E21" s="24">
        <f t="shared" si="5"/>
        <v>2130929.13</v>
      </c>
      <c r="F21" s="6">
        <f t="shared" si="5"/>
        <v>493947.11000000004</v>
      </c>
      <c r="G21" s="6">
        <f t="shared" si="5"/>
        <v>433443.38</v>
      </c>
      <c r="H21" s="6">
        <f t="shared" si="5"/>
        <v>352901.07</v>
      </c>
      <c r="I21" s="24">
        <f>SUM(F21:H21)</f>
        <v>1280291.56</v>
      </c>
      <c r="J21" s="6">
        <f t="shared" ref="J21:P21" si="6">SUM(J9:J20)</f>
        <v>273989.42000000004</v>
      </c>
      <c r="K21" s="6">
        <f t="shared" si="6"/>
        <v>331880.24</v>
      </c>
      <c r="L21" s="6">
        <f t="shared" si="6"/>
        <v>360341.41000000003</v>
      </c>
      <c r="M21" s="24">
        <f>SUM(M9:M20)</f>
        <v>966211.07</v>
      </c>
      <c r="N21" s="6">
        <f t="shared" si="6"/>
        <v>450737.77</v>
      </c>
      <c r="O21" s="6">
        <f t="shared" si="6"/>
        <v>524637.41999999993</v>
      </c>
      <c r="P21" s="6">
        <f t="shared" si="6"/>
        <v>626508</v>
      </c>
      <c r="Q21" s="24">
        <f>SUM(Q9:Q20)</f>
        <v>1601883.1899999997</v>
      </c>
      <c r="R21" s="24">
        <f>SUM(R9:R20)</f>
        <v>5979314.9500000002</v>
      </c>
    </row>
    <row r="22" spans="1:19" s="27" customFormat="1" x14ac:dyDescent="0.2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9" s="27" customFormat="1" ht="15.75" x14ac:dyDescent="0.25">
      <c r="A23" s="28" t="s">
        <v>74</v>
      </c>
      <c r="B23" s="29">
        <v>708569.77</v>
      </c>
      <c r="C23" s="29">
        <v>759939.46</v>
      </c>
      <c r="D23" s="29">
        <v>760248.73</v>
      </c>
      <c r="E23" s="23">
        <f>SUM(B23:D23)</f>
        <v>2228757.96</v>
      </c>
      <c r="F23" s="29">
        <v>613510.22</v>
      </c>
      <c r="G23" s="29">
        <v>487157.94</v>
      </c>
      <c r="H23" s="29">
        <v>441427.13</v>
      </c>
      <c r="I23" s="23">
        <f>SUM(F23:H23)</f>
        <v>1542095.29</v>
      </c>
      <c r="J23" s="29">
        <v>383815.48</v>
      </c>
      <c r="K23" s="29">
        <v>326258.40000000002</v>
      </c>
      <c r="L23" s="59">
        <v>372471.5</v>
      </c>
      <c r="M23" s="23">
        <f>SUM(J23:L23)</f>
        <v>1082545.3799999999</v>
      </c>
      <c r="N23" s="29">
        <v>385189.64</v>
      </c>
      <c r="O23" s="29">
        <v>398978.47</v>
      </c>
      <c r="P23" s="29">
        <v>513354</v>
      </c>
      <c r="Q23" s="23">
        <f>SUM(N23:P23)</f>
        <v>1297522.1099999999</v>
      </c>
      <c r="R23" s="24">
        <f>E23+I23+M23+Q23</f>
        <v>6150920.7400000002</v>
      </c>
    </row>
    <row r="24" spans="1:19" x14ac:dyDescent="0.25">
      <c r="A24" s="28" t="s">
        <v>118</v>
      </c>
      <c r="B24" s="29">
        <f>R25+B21-B23</f>
        <v>1118990.79</v>
      </c>
      <c r="C24" s="29">
        <f>B24+C21-C23</f>
        <v>1090289.9099999999</v>
      </c>
      <c r="D24" s="29">
        <f>C24+D21-D23</f>
        <v>925479.49</v>
      </c>
      <c r="E24" s="23">
        <f>SUM(B24:D24)</f>
        <v>3134760.1900000004</v>
      </c>
      <c r="F24" s="29">
        <f>D24+F21-F23</f>
        <v>805916.38000000012</v>
      </c>
      <c r="G24" s="29">
        <f>F24+G21-G23</f>
        <v>752201.8200000003</v>
      </c>
      <c r="H24" s="29">
        <f>G24+H21-H23</f>
        <v>663675.76000000036</v>
      </c>
      <c r="I24" s="23">
        <f>SUM(F24:H24)</f>
        <v>2221793.9600000009</v>
      </c>
      <c r="J24" s="29">
        <f>H24+J21-J23</f>
        <v>553849.70000000042</v>
      </c>
      <c r="K24" s="29">
        <f>J24+K21-K23</f>
        <v>559471.54000000039</v>
      </c>
      <c r="L24" s="29">
        <f>K24+L21-L23</f>
        <v>547341.45000000042</v>
      </c>
      <c r="M24" s="29"/>
      <c r="N24" s="29">
        <f>L24+N21-N23</f>
        <v>612889.58000000042</v>
      </c>
      <c r="O24" s="29">
        <f>N24+O21-O23</f>
        <v>738548.53000000049</v>
      </c>
      <c r="P24" s="29">
        <f>O24+P21-P23</f>
        <v>851702.53000000049</v>
      </c>
      <c r="Q24" s="29"/>
      <c r="R24" s="29"/>
    </row>
    <row r="25" spans="1:19" ht="15.75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6" t="s">
        <v>66</v>
      </c>
      <c r="N25" s="86"/>
      <c r="O25" s="86"/>
      <c r="P25" s="86"/>
      <c r="Q25" s="86"/>
      <c r="R25" s="60">
        <v>1023308.32</v>
      </c>
    </row>
    <row r="26" spans="1:19" ht="15.75" x14ac:dyDescent="0.25">
      <c r="B26" s="7"/>
      <c r="C26" s="7"/>
      <c r="D26" s="7"/>
      <c r="F26" s="7"/>
      <c r="M26" s="79" t="s">
        <v>57</v>
      </c>
      <c r="N26" s="79"/>
      <c r="O26" s="79"/>
      <c r="P26" s="79"/>
      <c r="Q26" s="79"/>
      <c r="R26" s="19">
        <f>R21</f>
        <v>5979314.9500000002</v>
      </c>
    </row>
    <row r="27" spans="1:19" ht="15.75" x14ac:dyDescent="0.25">
      <c r="M27" s="79" t="s">
        <v>122</v>
      </c>
      <c r="N27" s="79"/>
      <c r="O27" s="79"/>
      <c r="P27" s="79"/>
      <c r="Q27" s="79"/>
      <c r="R27" s="19">
        <f>R23</f>
        <v>6150920.7400000002</v>
      </c>
    </row>
    <row r="28" spans="1:19" ht="30.75" customHeight="1" x14ac:dyDescent="0.25">
      <c r="M28" s="80" t="s">
        <v>63</v>
      </c>
      <c r="N28" s="81"/>
      <c r="O28" s="81"/>
      <c r="P28" s="81"/>
      <c r="Q28" s="82"/>
      <c r="R28" s="20">
        <f>P24</f>
        <v>851702.53000000049</v>
      </c>
      <c r="S28" s="7"/>
    </row>
    <row r="29" spans="1:19" ht="31.5" customHeight="1" x14ac:dyDescent="0.25">
      <c r="B29" s="7"/>
      <c r="C29" s="7"/>
      <c r="D29" s="7"/>
      <c r="E29" s="7"/>
      <c r="K29" s="7"/>
      <c r="M29" s="80" t="s">
        <v>64</v>
      </c>
      <c r="N29" s="81"/>
      <c r="O29" s="81"/>
      <c r="P29" s="81"/>
      <c r="Q29" s="82"/>
      <c r="R29" s="20">
        <f>P21</f>
        <v>626508</v>
      </c>
    </row>
    <row r="30" spans="1:19" ht="15.75" x14ac:dyDescent="0.25">
      <c r="B30" s="7"/>
      <c r="C30" s="8"/>
      <c r="D30" s="8"/>
      <c r="E30" s="7"/>
      <c r="K30" s="7"/>
      <c r="M30" s="83" t="s">
        <v>65</v>
      </c>
      <c r="N30" s="84"/>
      <c r="O30" s="84"/>
      <c r="P30" s="84"/>
      <c r="Q30" s="85"/>
      <c r="R30" s="21">
        <f>R27/(R25+R26)</f>
        <v>0.87837378976978719</v>
      </c>
    </row>
    <row r="31" spans="1:19" x14ac:dyDescent="0.25">
      <c r="K31" s="7"/>
    </row>
    <row r="32" spans="1:19" x14ac:dyDescent="0.25">
      <c r="B32" s="7"/>
      <c r="C32" s="7"/>
      <c r="Q32" s="7"/>
    </row>
    <row r="33" spans="2:5" x14ac:dyDescent="0.25">
      <c r="B33" s="7"/>
      <c r="C33" s="77"/>
    </row>
    <row r="34" spans="2:5" x14ac:dyDescent="0.25">
      <c r="B34" s="7"/>
      <c r="C34" s="77"/>
    </row>
    <row r="35" spans="2:5" x14ac:dyDescent="0.25">
      <c r="B35" s="7"/>
      <c r="C35" s="77"/>
    </row>
    <row r="36" spans="2:5" x14ac:dyDescent="0.25">
      <c r="B36" s="7"/>
      <c r="C36" s="7"/>
    </row>
    <row r="38" spans="2:5" x14ac:dyDescent="0.25">
      <c r="B38" s="7"/>
      <c r="E38" s="7"/>
    </row>
  </sheetData>
  <mergeCells count="15">
    <mergeCell ref="A7:A8"/>
    <mergeCell ref="B7:E7"/>
    <mergeCell ref="A4:N4"/>
    <mergeCell ref="A6:R6"/>
    <mergeCell ref="R7:R8"/>
    <mergeCell ref="C33:C35"/>
    <mergeCell ref="N7:Q7"/>
    <mergeCell ref="F7:I7"/>
    <mergeCell ref="J7:M7"/>
    <mergeCell ref="M27:Q27"/>
    <mergeCell ref="M28:Q28"/>
    <mergeCell ref="M29:Q29"/>
    <mergeCell ref="M30:Q30"/>
    <mergeCell ref="M26:Q26"/>
    <mergeCell ref="M25:Q2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Q8" sqref="Q8"/>
    </sheetView>
  </sheetViews>
  <sheetFormatPr defaultRowHeight="15" x14ac:dyDescent="0.25"/>
  <cols>
    <col min="1" max="1" width="38.85546875" customWidth="1"/>
    <col min="2" max="2" width="11.28515625" customWidth="1"/>
    <col min="3" max="3" width="11" style="9" customWidth="1"/>
    <col min="4" max="4" width="10" style="9" bestFit="1" customWidth="1"/>
    <col min="5" max="5" width="12.7109375" style="9" customWidth="1"/>
    <col min="6" max="7" width="10" style="9" bestFit="1" customWidth="1"/>
    <col min="8" max="8" width="12.42578125" style="9" customWidth="1"/>
    <col min="9" max="9" width="13.42578125" style="9" customWidth="1"/>
    <col min="10" max="10" width="10.28515625" style="9" customWidth="1"/>
    <col min="11" max="11" width="11.42578125" style="9" customWidth="1"/>
    <col min="12" max="13" width="10" style="9" bestFit="1" customWidth="1"/>
    <col min="14" max="15" width="11.42578125" bestFit="1" customWidth="1"/>
    <col min="16" max="16" width="11.7109375" customWidth="1"/>
    <col min="17" max="17" width="12" customWidth="1"/>
  </cols>
  <sheetData>
    <row r="1" spans="1:17" ht="18.75" x14ac:dyDescent="0.3">
      <c r="A1" s="61" t="s">
        <v>56</v>
      </c>
      <c r="P1" s="95" t="s">
        <v>119</v>
      </c>
      <c r="Q1" s="95"/>
    </row>
    <row r="3" spans="1:17" ht="25.5" x14ac:dyDescent="0.25">
      <c r="A3" s="14"/>
      <c r="B3" s="17" t="s">
        <v>120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45</v>
      </c>
      <c r="M3" s="14" t="s">
        <v>46</v>
      </c>
      <c r="N3" s="14" t="s">
        <v>47</v>
      </c>
      <c r="O3" s="17" t="s">
        <v>52</v>
      </c>
      <c r="P3" s="17" t="s">
        <v>53</v>
      </c>
      <c r="Q3" s="17" t="s">
        <v>121</v>
      </c>
    </row>
    <row r="4" spans="1:17" x14ac:dyDescent="0.25">
      <c r="A4" s="92" t="s">
        <v>51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x14ac:dyDescent="0.25">
      <c r="A5" s="10" t="s">
        <v>20</v>
      </c>
      <c r="B5" s="10">
        <v>-2783.97</v>
      </c>
      <c r="C5" s="11">
        <v>124779.55</v>
      </c>
      <c r="D5" s="11">
        <v>114173</v>
      </c>
      <c r="E5" s="11">
        <v>107086.39999999999</v>
      </c>
      <c r="F5" s="11">
        <v>106299</v>
      </c>
      <c r="G5" s="11">
        <v>112007.65</v>
      </c>
      <c r="H5" s="11">
        <v>96732.09</v>
      </c>
      <c r="I5" s="11">
        <v>87047.07</v>
      </c>
      <c r="J5" s="11">
        <v>96338.39</v>
      </c>
      <c r="K5" s="11">
        <v>96062.8</v>
      </c>
      <c r="L5" s="11">
        <v>105511.6</v>
      </c>
      <c r="M5" s="11"/>
      <c r="N5" s="11"/>
      <c r="O5" s="11">
        <f>SUM(C5:N5)</f>
        <v>1046037.55</v>
      </c>
      <c r="P5" s="11">
        <f>121995.58+114173+107086.4+106299+112007.65+45824.95+28909.34+3770.19+16887.86+233.92+1105.83+87047.07+96338.39+96062.8+105511.6</f>
        <v>1043253.5799999998</v>
      </c>
      <c r="Q5" s="11">
        <f>B5+O5-P5</f>
        <v>0</v>
      </c>
    </row>
    <row r="6" spans="1:17" x14ac:dyDescent="0.25">
      <c r="A6" s="10" t="s">
        <v>21</v>
      </c>
      <c r="B6" s="10">
        <v>345341.36</v>
      </c>
      <c r="C6" s="11">
        <f>507810.19+201.42</f>
        <v>508011.61</v>
      </c>
      <c r="D6" s="11">
        <v>441905.98</v>
      </c>
      <c r="E6" s="11">
        <v>313065.19</v>
      </c>
      <c r="F6" s="11">
        <v>212033.2</v>
      </c>
      <c r="G6" s="11">
        <v>146216.41</v>
      </c>
      <c r="H6" s="11">
        <v>70414.649999999994</v>
      </c>
      <c r="I6" s="11">
        <v>13586.44</v>
      </c>
      <c r="J6" s="11">
        <v>73241.36</v>
      </c>
      <c r="K6" s="26">
        <v>85511.97</v>
      </c>
      <c r="L6" s="11">
        <v>223603.69</v>
      </c>
      <c r="M6" s="11">
        <v>387465.14</v>
      </c>
      <c r="N6" s="11">
        <v>488781.15</v>
      </c>
      <c r="O6" s="11">
        <f t="shared" ref="O6:O7" si="0">SUM(C6:N6)</f>
        <v>2963836.7899999996</v>
      </c>
      <c r="P6" s="11">
        <f>345341.36+508011.61+441905.98+313065.19+212033.2+146216.41+7177.97+40388.47+22848.21+13586.44+73241.36+85511.97+223603.69+387465.14+149000</f>
        <v>2969397</v>
      </c>
      <c r="Q6" s="11">
        <f t="shared" ref="Q6:Q7" si="1">B6+O6-P6</f>
        <v>339781.14999999944</v>
      </c>
    </row>
    <row r="7" spans="1:17" x14ac:dyDescent="0.25">
      <c r="A7" s="10" t="s">
        <v>23</v>
      </c>
      <c r="B7" s="10">
        <v>4987.32</v>
      </c>
      <c r="C7" s="11">
        <v>5362.01</v>
      </c>
      <c r="D7" s="25">
        <v>0</v>
      </c>
      <c r="E7" s="12">
        <v>5118.8999999999996</v>
      </c>
      <c r="F7" s="11">
        <v>10366.15</v>
      </c>
      <c r="G7" s="11">
        <v>3920.93</v>
      </c>
      <c r="H7" s="11">
        <v>3852.01</v>
      </c>
      <c r="I7" s="11">
        <v>4255.18</v>
      </c>
      <c r="J7" s="11">
        <v>2309.2399999999998</v>
      </c>
      <c r="K7" s="11">
        <v>3992.82</v>
      </c>
      <c r="L7" s="11">
        <v>4116.3</v>
      </c>
      <c r="M7" s="11">
        <v>1431.86</v>
      </c>
      <c r="N7" s="11">
        <f>3059.26+36.09</f>
        <v>3095.3500000000004</v>
      </c>
      <c r="O7" s="11">
        <f t="shared" si="0"/>
        <v>47820.75</v>
      </c>
      <c r="P7" s="11">
        <f>4987.32+5362.01+5118.9+10366.15+3920.93+3852.01+2309.24+3992.82+4116.3+1431.86</f>
        <v>45457.54</v>
      </c>
      <c r="Q7" s="11">
        <f t="shared" si="1"/>
        <v>7350.5299999999988</v>
      </c>
    </row>
    <row r="8" spans="1:17" x14ac:dyDescent="0.25">
      <c r="A8" s="96" t="s">
        <v>54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  <c r="O8" s="32">
        <f>SUM(O5:O7)</f>
        <v>4057695.09</v>
      </c>
      <c r="P8" s="32">
        <f>SUM(P5:P7)</f>
        <v>4058108.12</v>
      </c>
      <c r="Q8" s="32">
        <f>SUM(Q5:Q7)</f>
        <v>347131.67999999947</v>
      </c>
    </row>
    <row r="9" spans="1:17" x14ac:dyDescent="0.25">
      <c r="A9" s="92" t="s">
        <v>69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x14ac:dyDescent="0.25">
      <c r="A10" s="15" t="s">
        <v>25</v>
      </c>
      <c r="B10" s="15">
        <v>0</v>
      </c>
      <c r="C10" s="16">
        <v>1728</v>
      </c>
      <c r="D10" s="16">
        <v>1728</v>
      </c>
      <c r="E10" s="16">
        <v>1800.76</v>
      </c>
      <c r="F10" s="16">
        <v>1798.62</v>
      </c>
      <c r="G10" s="16">
        <v>1800.76</v>
      </c>
      <c r="H10" s="16">
        <v>1809.32</v>
      </c>
      <c r="I10" s="16">
        <v>1809.32</v>
      </c>
      <c r="J10" s="16">
        <v>1732.28</v>
      </c>
      <c r="K10" s="16">
        <v>1732.28</v>
      </c>
      <c r="L10" s="16">
        <v>1732.28</v>
      </c>
      <c r="M10" s="16">
        <v>1732.28</v>
      </c>
      <c r="N10" s="16">
        <v>1728</v>
      </c>
      <c r="O10" s="11">
        <f t="shared" ref="O10:O24" si="2">SUM(C10:N10)</f>
        <v>21131.899999999998</v>
      </c>
      <c r="P10" s="11">
        <f>1728+3528.76+1798.62+1800.76+13500+513</f>
        <v>22869.14</v>
      </c>
      <c r="Q10" s="11">
        <f>B10+O10-P10</f>
        <v>-1737.2400000000016</v>
      </c>
    </row>
    <row r="11" spans="1:17" x14ac:dyDescent="0.25">
      <c r="A11" s="10" t="s">
        <v>22</v>
      </c>
      <c r="B11" s="10">
        <v>14496.18</v>
      </c>
      <c r="C11" s="11">
        <v>19692.93</v>
      </c>
      <c r="D11" s="11">
        <v>17741.310000000001</v>
      </c>
      <c r="E11" s="11">
        <v>17741.310000000001</v>
      </c>
      <c r="F11" s="11">
        <v>17741.310000000001</v>
      </c>
      <c r="G11" s="11">
        <v>17741.310000000001</v>
      </c>
      <c r="H11" s="11">
        <v>21245.360000000001</v>
      </c>
      <c r="I11" s="11">
        <v>21245.360000000001</v>
      </c>
      <c r="J11" s="11">
        <v>21245.360000000001</v>
      </c>
      <c r="K11" s="11">
        <v>21245.360000000001</v>
      </c>
      <c r="L11" s="11">
        <v>21245.18</v>
      </c>
      <c r="M11" s="11">
        <v>21245.18</v>
      </c>
      <c r="N11" s="16">
        <v>21245.18</v>
      </c>
      <c r="O11" s="11">
        <f t="shared" si="2"/>
        <v>239375.14999999997</v>
      </c>
      <c r="P11" s="11">
        <f>28992.36+17741.31+22938.06+17741.31+17741.31+17741.31+24749.23+21245.18+21245.18+21245.18+21245.18</f>
        <v>232625.60999999996</v>
      </c>
      <c r="Q11" s="11">
        <f t="shared" ref="Q11:Q24" si="3">B11+O11-P11</f>
        <v>21245.72</v>
      </c>
    </row>
    <row r="12" spans="1:17" x14ac:dyDescent="0.25">
      <c r="A12" s="10" t="s">
        <v>24</v>
      </c>
      <c r="B12" s="10">
        <v>-104.43</v>
      </c>
      <c r="C12" s="11">
        <v>30671.51</v>
      </c>
      <c r="D12" s="11">
        <v>30755.4</v>
      </c>
      <c r="E12" s="11">
        <v>29972.02</v>
      </c>
      <c r="F12" s="11">
        <v>30486.36</v>
      </c>
      <c r="G12" s="11">
        <v>30475.919999999998</v>
      </c>
      <c r="H12" s="11">
        <v>30631.95</v>
      </c>
      <c r="I12" s="11">
        <f>30800.8+10276.88</f>
        <v>41077.68</v>
      </c>
      <c r="J12" s="11">
        <v>35682.31</v>
      </c>
      <c r="K12" s="11">
        <v>35672.980000000003</v>
      </c>
      <c r="L12" s="12">
        <v>35529.82</v>
      </c>
      <c r="M12" s="12">
        <v>35931.4</v>
      </c>
      <c r="N12" s="16">
        <v>35963.379999999997</v>
      </c>
      <c r="O12" s="11">
        <f t="shared" si="2"/>
        <v>402850.73000000004</v>
      </c>
      <c r="P12" s="11">
        <v>366963.76</v>
      </c>
      <c r="Q12" s="11">
        <f t="shared" si="3"/>
        <v>35782.540000000037</v>
      </c>
    </row>
    <row r="13" spans="1:17" x14ac:dyDescent="0.25">
      <c r="A13" s="10" t="s">
        <v>49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v>4000</v>
      </c>
      <c r="N13" s="16">
        <v>4000</v>
      </c>
      <c r="O13" s="11">
        <f t="shared" si="2"/>
        <v>8000</v>
      </c>
      <c r="P13" s="11">
        <f>4000+4000+4000</f>
        <v>12000</v>
      </c>
      <c r="Q13" s="11">
        <f t="shared" si="3"/>
        <v>-4000</v>
      </c>
    </row>
    <row r="14" spans="1:17" x14ac:dyDescent="0.25">
      <c r="A14" s="10" t="s">
        <v>50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6">
        <f>19000+3200</f>
        <v>22200</v>
      </c>
      <c r="O14" s="11">
        <f t="shared" si="2"/>
        <v>22200</v>
      </c>
      <c r="P14" s="11">
        <f>19000+3200</f>
        <v>22200</v>
      </c>
      <c r="Q14" s="11">
        <f t="shared" si="3"/>
        <v>0</v>
      </c>
    </row>
    <row r="15" spans="1:17" x14ac:dyDescent="0.25">
      <c r="A15" s="10" t="s">
        <v>29</v>
      </c>
      <c r="B15" s="10"/>
      <c r="C15" s="11"/>
      <c r="D15" s="11">
        <v>19400</v>
      </c>
      <c r="E15" s="11"/>
      <c r="F15" s="11"/>
      <c r="G15" s="11"/>
      <c r="H15" s="11"/>
      <c r="I15" s="11">
        <v>40000</v>
      </c>
      <c r="J15" s="11">
        <v>25000</v>
      </c>
      <c r="K15" s="11">
        <v>30000</v>
      </c>
      <c r="L15" s="11">
        <f>30000+1100</f>
        <v>31100</v>
      </c>
      <c r="M15" s="11">
        <v>30000</v>
      </c>
      <c r="N15" s="16">
        <v>30000</v>
      </c>
      <c r="O15" s="11">
        <f t="shared" si="2"/>
        <v>205500</v>
      </c>
      <c r="P15" s="11">
        <f>19400+40000+25000+30000+30000+60000+1100</f>
        <v>205500</v>
      </c>
      <c r="Q15" s="11">
        <f t="shared" si="3"/>
        <v>0</v>
      </c>
    </row>
    <row r="16" spans="1:17" x14ac:dyDescent="0.25">
      <c r="A16" s="10" t="s">
        <v>32</v>
      </c>
      <c r="B16" s="10"/>
      <c r="C16" s="11"/>
      <c r="D16" s="11"/>
      <c r="E16" s="11"/>
      <c r="F16" s="11"/>
      <c r="G16" s="11"/>
      <c r="H16" s="11"/>
      <c r="I16" s="11">
        <v>4000</v>
      </c>
      <c r="J16" s="11">
        <v>4000</v>
      </c>
      <c r="K16" s="11">
        <v>4000</v>
      </c>
      <c r="L16" s="11">
        <v>4000</v>
      </c>
      <c r="M16" s="11">
        <v>4000</v>
      </c>
      <c r="N16" s="16">
        <v>4000</v>
      </c>
      <c r="O16" s="11">
        <f t="shared" si="2"/>
        <v>24000</v>
      </c>
      <c r="P16" s="11">
        <f>4000+4000+4000+4000+4000+4000</f>
        <v>24000</v>
      </c>
      <c r="Q16" s="11">
        <f t="shared" si="3"/>
        <v>0</v>
      </c>
    </row>
    <row r="17" spans="1:17" x14ac:dyDescent="0.25">
      <c r="A17" s="10" t="s">
        <v>33</v>
      </c>
      <c r="B17" s="10"/>
      <c r="C17" s="11"/>
      <c r="D17" s="11"/>
      <c r="E17" s="11"/>
      <c r="F17" s="11"/>
      <c r="G17" s="11"/>
      <c r="H17" s="11"/>
      <c r="I17" s="11"/>
      <c r="J17" s="11">
        <v>5000</v>
      </c>
      <c r="K17" s="11"/>
      <c r="L17" s="11"/>
      <c r="M17" s="11"/>
      <c r="N17" s="16"/>
      <c r="O17" s="11">
        <f t="shared" si="2"/>
        <v>5000</v>
      </c>
      <c r="P17" s="11">
        <f>5000</f>
        <v>5000</v>
      </c>
      <c r="Q17" s="11">
        <f t="shared" si="3"/>
        <v>0</v>
      </c>
    </row>
    <row r="18" spans="1:17" x14ac:dyDescent="0.25">
      <c r="A18" s="10" t="s">
        <v>26</v>
      </c>
      <c r="B18" s="10"/>
      <c r="C18" s="11"/>
      <c r="D18" s="11">
        <v>1655</v>
      </c>
      <c r="E18" s="11"/>
      <c r="F18" s="11"/>
      <c r="G18" s="11"/>
      <c r="H18" s="11"/>
      <c r="I18" s="11"/>
      <c r="J18" s="11"/>
      <c r="K18" s="11"/>
      <c r="L18" s="11"/>
      <c r="M18" s="11"/>
      <c r="N18" s="16"/>
      <c r="O18" s="11">
        <f t="shared" si="2"/>
        <v>1655</v>
      </c>
      <c r="P18" s="11">
        <f>1655</f>
        <v>1655</v>
      </c>
      <c r="Q18" s="11">
        <f t="shared" si="3"/>
        <v>0</v>
      </c>
    </row>
    <row r="19" spans="1:17" x14ac:dyDescent="0.25">
      <c r="A19" s="10" t="s">
        <v>19</v>
      </c>
      <c r="B19" s="10"/>
      <c r="C19" s="11">
        <v>3600</v>
      </c>
      <c r="D19" s="25">
        <v>1800</v>
      </c>
      <c r="E19" s="25">
        <v>1800</v>
      </c>
      <c r="F19" s="11">
        <v>1800</v>
      </c>
      <c r="G19" s="11">
        <v>1800</v>
      </c>
      <c r="H19" s="11"/>
      <c r="I19" s="11"/>
      <c r="J19" s="11"/>
      <c r="K19" s="11"/>
      <c r="L19" s="11"/>
      <c r="M19" s="11"/>
      <c r="N19" s="16"/>
      <c r="O19" s="11">
        <f t="shared" si="2"/>
        <v>10800</v>
      </c>
      <c r="P19" s="11">
        <f>3600+1800+1800+1800+1800</f>
        <v>10800</v>
      </c>
      <c r="Q19" s="11">
        <f t="shared" si="3"/>
        <v>0</v>
      </c>
    </row>
    <row r="20" spans="1:17" x14ac:dyDescent="0.25">
      <c r="A20" s="10" t="s">
        <v>18</v>
      </c>
      <c r="B20" s="10">
        <v>-24685.26</v>
      </c>
      <c r="C20" s="11">
        <f>14673.47+45266.91</f>
        <v>59940.380000000005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6"/>
      <c r="O20" s="11">
        <f t="shared" si="2"/>
        <v>59940.380000000005</v>
      </c>
      <c r="P20" s="11">
        <f>35255.12</f>
        <v>35255.120000000003</v>
      </c>
      <c r="Q20" s="11">
        <f t="shared" si="3"/>
        <v>0</v>
      </c>
    </row>
    <row r="21" spans="1:17" x14ac:dyDescent="0.25">
      <c r="A21" s="10" t="s">
        <v>27</v>
      </c>
      <c r="B21" s="10"/>
      <c r="C21" s="11"/>
      <c r="D21" s="11">
        <v>1499</v>
      </c>
      <c r="E21" s="11"/>
      <c r="F21" s="11"/>
      <c r="G21" s="11"/>
      <c r="H21" s="11"/>
      <c r="I21" s="11"/>
      <c r="J21" s="11"/>
      <c r="K21" s="11"/>
      <c r="L21" s="11"/>
      <c r="M21" s="11"/>
      <c r="N21" s="16"/>
      <c r="O21" s="11">
        <f t="shared" si="2"/>
        <v>1499</v>
      </c>
      <c r="P21" s="11">
        <v>1499</v>
      </c>
      <c r="Q21" s="11">
        <f t="shared" si="3"/>
        <v>0</v>
      </c>
    </row>
    <row r="22" spans="1:17" x14ac:dyDescent="0.25">
      <c r="A22" s="10" t="s">
        <v>28</v>
      </c>
      <c r="B22" s="10"/>
      <c r="C22" s="11"/>
      <c r="D22" s="11">
        <f>2000+1180</f>
        <v>3180</v>
      </c>
      <c r="E22" s="11"/>
      <c r="F22" s="11"/>
      <c r="G22" s="11"/>
      <c r="H22" s="11"/>
      <c r="I22" s="11"/>
      <c r="J22" s="11"/>
      <c r="K22" s="11"/>
      <c r="L22" s="11"/>
      <c r="M22" s="11"/>
      <c r="N22" s="16"/>
      <c r="O22" s="11">
        <f t="shared" si="2"/>
        <v>3180</v>
      </c>
      <c r="P22" s="11">
        <f>2000+1180</f>
        <v>3180</v>
      </c>
      <c r="Q22" s="11">
        <f t="shared" si="3"/>
        <v>0</v>
      </c>
    </row>
    <row r="23" spans="1:17" x14ac:dyDescent="0.25">
      <c r="A23" s="10" t="s">
        <v>30</v>
      </c>
      <c r="B23" s="10"/>
      <c r="C23" s="11"/>
      <c r="D23" s="11"/>
      <c r="E23" s="11">
        <v>1000</v>
      </c>
      <c r="F23" s="11"/>
      <c r="G23" s="11"/>
      <c r="H23" s="11"/>
      <c r="I23" s="11"/>
      <c r="J23" s="11"/>
      <c r="K23" s="11">
        <v>1000</v>
      </c>
      <c r="L23" s="11"/>
      <c r="M23" s="11"/>
      <c r="N23" s="16"/>
      <c r="O23" s="11">
        <f t="shared" si="2"/>
        <v>2000</v>
      </c>
      <c r="P23" s="11">
        <f>1000+1000</f>
        <v>2000</v>
      </c>
      <c r="Q23" s="11">
        <f t="shared" si="3"/>
        <v>0</v>
      </c>
    </row>
    <row r="24" spans="1:17" x14ac:dyDescent="0.25">
      <c r="A24" s="10" t="s">
        <v>68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6">
        <v>1000</v>
      </c>
      <c r="O24" s="11">
        <f t="shared" si="2"/>
        <v>1000</v>
      </c>
      <c r="P24" s="11">
        <v>1000</v>
      </c>
      <c r="Q24" s="11">
        <f t="shared" si="3"/>
        <v>0</v>
      </c>
    </row>
    <row r="25" spans="1:17" x14ac:dyDescent="0.25">
      <c r="A25" s="10" t="s">
        <v>34</v>
      </c>
      <c r="B25" s="10"/>
      <c r="C25" s="11">
        <v>67375</v>
      </c>
      <c r="D25" s="11">
        <v>32890</v>
      </c>
      <c r="E25" s="11">
        <v>57558</v>
      </c>
      <c r="F25" s="11">
        <v>32890</v>
      </c>
      <c r="G25" s="11">
        <v>32890</v>
      </c>
      <c r="H25" s="11">
        <v>56789</v>
      </c>
      <c r="I25" s="11"/>
      <c r="J25" s="11"/>
      <c r="K25" s="11"/>
      <c r="L25" s="11"/>
      <c r="M25" s="11"/>
      <c r="N25" s="16"/>
      <c r="O25" s="11">
        <f t="shared" ref="O25:O30" si="4">SUM(C25:N25)</f>
        <v>280392</v>
      </c>
      <c r="P25" s="11">
        <v>280392</v>
      </c>
      <c r="Q25" s="11">
        <f t="shared" ref="Q25:Q30" si="5">B25+O25-P25</f>
        <v>0</v>
      </c>
    </row>
    <row r="26" spans="1:17" x14ac:dyDescent="0.25">
      <c r="A26" s="10" t="s">
        <v>35</v>
      </c>
      <c r="B26" s="10"/>
      <c r="C26" s="11">
        <f>17141+377+2089+1348</f>
        <v>20955</v>
      </c>
      <c r="D26" s="11">
        <f>8551+1019+657</f>
        <v>10227</v>
      </c>
      <c r="E26" s="11">
        <f>14021+944+1785+1151</f>
        <v>17901</v>
      </c>
      <c r="F26" s="11">
        <f>7765+786+1020+658</f>
        <v>10229</v>
      </c>
      <c r="G26" s="11">
        <f>8551+1019+658</f>
        <v>10228</v>
      </c>
      <c r="H26" s="11">
        <f>6541+780+503</f>
        <v>7824</v>
      </c>
      <c r="I26" s="11"/>
      <c r="J26" s="11"/>
      <c r="K26" s="11"/>
      <c r="L26" s="11"/>
      <c r="M26" s="11"/>
      <c r="N26" s="16"/>
      <c r="O26" s="11">
        <f t="shared" si="4"/>
        <v>77364</v>
      </c>
      <c r="P26" s="11">
        <v>77364</v>
      </c>
      <c r="Q26" s="11">
        <f t="shared" si="5"/>
        <v>0</v>
      </c>
    </row>
    <row r="27" spans="1:17" x14ac:dyDescent="0.25">
      <c r="A27" s="10" t="s">
        <v>36</v>
      </c>
      <c r="B27" s="10"/>
      <c r="C27" s="11">
        <f>C25*3.1%</f>
        <v>2088.625</v>
      </c>
      <c r="D27" s="11">
        <f t="shared" ref="D27:G27" si="6">D25*3.1%</f>
        <v>1019.59</v>
      </c>
      <c r="E27" s="11">
        <f t="shared" si="6"/>
        <v>1784.298</v>
      </c>
      <c r="F27" s="11">
        <f t="shared" si="6"/>
        <v>1019.59</v>
      </c>
      <c r="G27" s="11">
        <f t="shared" si="6"/>
        <v>1019.59</v>
      </c>
      <c r="H27" s="11">
        <f>(H25-31632)*3.1%</f>
        <v>779.86699999999996</v>
      </c>
      <c r="I27" s="11"/>
      <c r="J27" s="11"/>
      <c r="K27" s="11"/>
      <c r="L27" s="11"/>
      <c r="M27" s="11"/>
      <c r="N27" s="16"/>
      <c r="O27" s="11">
        <f t="shared" si="4"/>
        <v>7711.56</v>
      </c>
      <c r="P27" s="11">
        <v>7711.56</v>
      </c>
      <c r="Q27" s="11">
        <f t="shared" si="5"/>
        <v>0</v>
      </c>
    </row>
    <row r="28" spans="1:17" x14ac:dyDescent="0.25">
      <c r="A28" s="10" t="s">
        <v>37</v>
      </c>
      <c r="B28" s="10"/>
      <c r="C28" s="11"/>
      <c r="D28" s="11"/>
      <c r="E28" s="11">
        <f>4135.4+19400</f>
        <v>23535.4</v>
      </c>
      <c r="F28" s="11">
        <f>375+500</f>
        <v>875</v>
      </c>
      <c r="G28" s="11">
        <f>19455.5+45400</f>
        <v>64855.5</v>
      </c>
      <c r="H28" s="11">
        <f>19092.9+33000+909.6</f>
        <v>53002.5</v>
      </c>
      <c r="I28" s="11">
        <f>79383.85-40000-13500</f>
        <v>25883.850000000006</v>
      </c>
      <c r="J28" s="11">
        <v>6442</v>
      </c>
      <c r="K28" s="11">
        <f>29887-25000-513</f>
        <v>4374</v>
      </c>
      <c r="L28" s="11">
        <f>61920-30000-30000</f>
        <v>1920</v>
      </c>
      <c r="M28" s="11">
        <v>1769.48</v>
      </c>
      <c r="N28" s="16">
        <v>1888.5</v>
      </c>
      <c r="O28" s="11">
        <f t="shared" si="4"/>
        <v>184546.23</v>
      </c>
      <c r="P28" s="11">
        <v>184546.23</v>
      </c>
      <c r="Q28" s="11">
        <f t="shared" si="5"/>
        <v>0</v>
      </c>
    </row>
    <row r="29" spans="1:17" x14ac:dyDescent="0.25">
      <c r="A29" s="10" t="s">
        <v>38</v>
      </c>
      <c r="B29" s="10"/>
      <c r="C29" s="11">
        <v>1285</v>
      </c>
      <c r="D29" s="11">
        <v>965</v>
      </c>
      <c r="E29" s="11">
        <v>1525</v>
      </c>
      <c r="F29" s="11">
        <v>1138</v>
      </c>
      <c r="G29" s="11">
        <v>1295</v>
      </c>
      <c r="H29" s="11">
        <v>1000</v>
      </c>
      <c r="I29" s="11">
        <f>1000+22.88+127.12+500</f>
        <v>1650</v>
      </c>
      <c r="J29" s="11">
        <f>35+400+2500+30+35+135.48+300</f>
        <v>3435.48</v>
      </c>
      <c r="K29" s="11">
        <f>10+30+300+300+1000</f>
        <v>1640</v>
      </c>
      <c r="L29" s="11">
        <f>60+30+300+300</f>
        <v>690</v>
      </c>
      <c r="M29" s="11">
        <f>30+60+30+300+300</f>
        <v>720</v>
      </c>
      <c r="N29" s="16">
        <f>30+70+90+600+150</f>
        <v>940</v>
      </c>
      <c r="O29" s="11">
        <f t="shared" si="4"/>
        <v>16283.48</v>
      </c>
      <c r="P29" s="11">
        <f>O29</f>
        <v>16283.48</v>
      </c>
      <c r="Q29" s="11">
        <f t="shared" si="5"/>
        <v>0</v>
      </c>
    </row>
    <row r="30" spans="1:17" x14ac:dyDescent="0.25">
      <c r="A30" s="10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>
        <f>5+49</f>
        <v>54</v>
      </c>
      <c r="M30" s="11"/>
      <c r="N30" s="16"/>
      <c r="O30" s="11">
        <f t="shared" si="4"/>
        <v>54</v>
      </c>
      <c r="P30" s="11">
        <v>54</v>
      </c>
      <c r="Q30" s="11">
        <f t="shared" si="5"/>
        <v>0</v>
      </c>
    </row>
    <row r="31" spans="1:17" x14ac:dyDescent="0.25">
      <c r="A31" s="96" t="s">
        <v>71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32">
        <f>SUM(O10:O30)</f>
        <v>1574483.4300000002</v>
      </c>
      <c r="P31" s="32">
        <f>SUM(P10:P30)</f>
        <v>1512898.9</v>
      </c>
      <c r="Q31" s="32">
        <f>SUM(Q10:Q30)</f>
        <v>51291.020000000033</v>
      </c>
    </row>
    <row r="32" spans="1:17" x14ac:dyDescent="0.25">
      <c r="A32" s="92" t="s">
        <v>70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x14ac:dyDescent="0.25">
      <c r="A33" s="10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>
        <f>126700+54300</f>
        <v>181000</v>
      </c>
      <c r="N33" s="16"/>
      <c r="O33" s="11">
        <f>SUM(C33:N33)</f>
        <v>181000</v>
      </c>
      <c r="P33" s="11">
        <f>126700+54300</f>
        <v>181000</v>
      </c>
      <c r="Q33" s="11">
        <f>B33+O33-P33</f>
        <v>0</v>
      </c>
    </row>
    <row r="34" spans="1:17" x14ac:dyDescent="0.25">
      <c r="A34" s="10" t="s">
        <v>31</v>
      </c>
      <c r="B34" s="10"/>
      <c r="C34" s="11"/>
      <c r="D34" s="11"/>
      <c r="E34" s="11"/>
      <c r="F34" s="11"/>
      <c r="G34" s="11">
        <f>33120+3981.6</f>
        <v>37101.599999999999</v>
      </c>
      <c r="H34" s="11"/>
      <c r="I34" s="11"/>
      <c r="J34" s="11"/>
      <c r="K34" s="11"/>
      <c r="L34" s="11"/>
      <c r="M34" s="11"/>
      <c r="N34" s="16"/>
      <c r="O34" s="11">
        <f>SUM(C34:N34)</f>
        <v>37101.599999999999</v>
      </c>
      <c r="P34" s="11">
        <f>33120+3981.6</f>
        <v>37101.599999999999</v>
      </c>
      <c r="Q34" s="11">
        <f>B34+O34-P34</f>
        <v>0</v>
      </c>
    </row>
    <row r="35" spans="1:17" x14ac:dyDescent="0.25">
      <c r="A35" s="10" t="s">
        <v>67</v>
      </c>
      <c r="B35" s="10"/>
      <c r="C35" s="11"/>
      <c r="D35" s="11"/>
      <c r="E35" s="11"/>
      <c r="F35" s="11"/>
      <c r="G35" s="11"/>
      <c r="H35" s="25"/>
      <c r="I35" s="11">
        <v>174275.38</v>
      </c>
      <c r="J35" s="11"/>
      <c r="K35" s="11"/>
      <c r="L35" s="11"/>
      <c r="M35" s="11"/>
      <c r="N35" s="16"/>
      <c r="O35" s="11">
        <f>SUM(C35:N35)</f>
        <v>174275.38</v>
      </c>
      <c r="P35" s="11">
        <f>100000+74275.38</f>
        <v>174275.38</v>
      </c>
      <c r="Q35" s="11">
        <f>B35+O35-P35</f>
        <v>0</v>
      </c>
    </row>
    <row r="36" spans="1:17" x14ac:dyDescent="0.25">
      <c r="A36" s="10" t="s">
        <v>73</v>
      </c>
      <c r="B36" s="10"/>
      <c r="C36" s="11"/>
      <c r="D36" s="11"/>
      <c r="E36" s="11"/>
      <c r="F36" s="11"/>
      <c r="G36" s="11"/>
      <c r="H36" s="11"/>
      <c r="I36" s="11">
        <f>46026.97+74200</f>
        <v>120226.97</v>
      </c>
      <c r="J36" s="11"/>
      <c r="K36" s="11"/>
      <c r="L36" s="11"/>
      <c r="M36" s="11"/>
      <c r="N36" s="16"/>
      <c r="O36" s="11">
        <f>SUM(C36:N36)</f>
        <v>120226.97</v>
      </c>
      <c r="P36" s="11">
        <f>120226.97</f>
        <v>120226.97</v>
      </c>
      <c r="Q36" s="11">
        <f>B36+O36-P36</f>
        <v>0</v>
      </c>
    </row>
    <row r="37" spans="1:17" x14ac:dyDescent="0.25">
      <c r="A37" s="96" t="s">
        <v>72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  <c r="O37" s="32">
        <f>SUM(O33:O36)</f>
        <v>512603.94999999995</v>
      </c>
      <c r="P37" s="32">
        <f>SUM(P33:P36)</f>
        <v>512603.94999999995</v>
      </c>
      <c r="Q37" s="32">
        <f>SUM(Q33:Q36)</f>
        <v>0</v>
      </c>
    </row>
    <row r="38" spans="1:17" x14ac:dyDescent="0.25">
      <c r="A38" s="92" t="s">
        <v>79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13">
        <f>O8+O31+O37</f>
        <v>6144782.4699999997</v>
      </c>
      <c r="P38" s="13">
        <f>P8+P31+P37</f>
        <v>6083610.9699999997</v>
      </c>
      <c r="Q38" s="13">
        <f>Q8+Q31+Q37</f>
        <v>398422.69999999949</v>
      </c>
    </row>
    <row r="39" spans="1:17" ht="15.75" x14ac:dyDescent="0.25">
      <c r="O39" s="99" t="s">
        <v>75</v>
      </c>
      <c r="P39" s="30" t="s">
        <v>76</v>
      </c>
      <c r="Q39" s="31">
        <v>8172.66</v>
      </c>
    </row>
    <row r="40" spans="1:17" ht="15.75" x14ac:dyDescent="0.25">
      <c r="O40" s="99"/>
      <c r="P40" s="30" t="s">
        <v>77</v>
      </c>
      <c r="Q40" s="31">
        <v>49178.44</v>
      </c>
    </row>
    <row r="41" spans="1:17" ht="15.75" x14ac:dyDescent="0.25">
      <c r="O41" s="100" t="s">
        <v>78</v>
      </c>
      <c r="P41" s="101"/>
      <c r="Q41" s="19">
        <f>Q38-Q39-Q40</f>
        <v>341071.59999999951</v>
      </c>
    </row>
  </sheetData>
  <mergeCells count="10">
    <mergeCell ref="A37:N37"/>
    <mergeCell ref="O39:O40"/>
    <mergeCell ref="O41:P41"/>
    <mergeCell ref="A38:N38"/>
    <mergeCell ref="A31:N31"/>
    <mergeCell ref="P1:Q1"/>
    <mergeCell ref="A8:N8"/>
    <mergeCell ref="A4:Q4"/>
    <mergeCell ref="A9:Q9"/>
    <mergeCell ref="A32:Q3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2012-04-12T14:57:50Z</dcterms:modified>
</cp:coreProperties>
</file>