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025" windowHeight="8640" tabRatio="936" activeTab="6"/>
  </bookViews>
  <sheets>
    <sheet name="Ирк.тр.85" sheetId="1" r:id="rId1"/>
    <sheet name="Ирк.89" sheetId="2" r:id="rId2"/>
    <sheet name="кл.3" sheetId="3" r:id="rId3"/>
    <sheet name="Кл.5" sheetId="4" r:id="rId4"/>
    <sheet name="Кл.18" sheetId="5" r:id="rId5"/>
    <sheet name="Кл.20" sheetId="6" r:id="rId6"/>
    <sheet name="Кл.26" sheetId="7" r:id="rId7"/>
    <sheet name="обр.14" sheetId="8" r:id="rId8"/>
    <sheet name="обр.18" sheetId="9" r:id="rId9"/>
    <sheet name="обр.26" sheetId="10" r:id="rId10"/>
    <sheet name="бир.6" sheetId="11" r:id="rId11"/>
    <sheet name="бир.11" sheetId="12" r:id="rId12"/>
    <sheet name="бир.3" sheetId="13" r:id="rId13"/>
    <sheet name="бир.5" sheetId="14" r:id="rId14"/>
    <sheet name="бир.7" sheetId="15" r:id="rId15"/>
    <sheet name="бир.7а" sheetId="16" r:id="rId16"/>
    <sheet name="свод" sheetId="17" r:id="rId17"/>
  </sheets>
  <definedNames/>
  <calcPr fullCalcOnLoad="1"/>
</workbook>
</file>

<file path=xl/sharedStrings.xml><?xml version="1.0" encoding="utf-8"?>
<sst xmlns="http://schemas.openxmlformats.org/spreadsheetml/2006/main" count="3973" uniqueCount="226">
  <si>
    <t>№ пп</t>
  </si>
  <si>
    <t>Наименование работ</t>
  </si>
  <si>
    <t>Ед. изм.</t>
  </si>
  <si>
    <t>Всего</t>
  </si>
  <si>
    <t>Объем</t>
  </si>
  <si>
    <t>Всего затрат, тыс. руб.</t>
  </si>
  <si>
    <t>Техническое обслуживание конструктивных элементов</t>
  </si>
  <si>
    <t>1.</t>
  </si>
  <si>
    <t>Технические осмотры</t>
  </si>
  <si>
    <t>1.1.</t>
  </si>
  <si>
    <t>Технический осмотр кровли</t>
  </si>
  <si>
    <t>1000 м2 кровли</t>
  </si>
  <si>
    <t>1.2.</t>
  </si>
  <si>
    <t>Технический осмотр деревянных конструкций</t>
  </si>
  <si>
    <t>1000 м2 жилой площади</t>
  </si>
  <si>
    <t>1.3.</t>
  </si>
  <si>
    <t>Технический осмотр дверных и оконных проемов</t>
  </si>
  <si>
    <t>1.4.</t>
  </si>
  <si>
    <t>Технический осмотр внутренней и наружней штукатурки и облицовки стен</t>
  </si>
  <si>
    <t>1.5.</t>
  </si>
  <si>
    <t>Технический осмотр внутренней и наружней окраски и другой отделки</t>
  </si>
  <si>
    <t>1.6.</t>
  </si>
  <si>
    <t>Технический осмотр каменных конструкций</t>
  </si>
  <si>
    <t>1.7.</t>
  </si>
  <si>
    <t>Технический осмотр печей, дымоходов</t>
  </si>
  <si>
    <t>Кол-во печей</t>
  </si>
  <si>
    <t>1.8.</t>
  </si>
  <si>
    <t>Мелкий ремонт печей и очагов (укрепление дверей, предтопочных листов и т.д.)</t>
  </si>
  <si>
    <t>1.9.</t>
  </si>
  <si>
    <t>Промазка суриковой замазкой свищей, участков гребней стальной кровли</t>
  </si>
  <si>
    <t>100 свищей</t>
  </si>
  <si>
    <t>2.</t>
  </si>
  <si>
    <t>Работы, выполняемые при подготовке жилых зданий к эксплуатации в зимний период</t>
  </si>
  <si>
    <t>2.1.</t>
  </si>
  <si>
    <t>Укрепление водосточных труб, колен, воронок</t>
  </si>
  <si>
    <t>1 м трубы</t>
  </si>
  <si>
    <t>2.2.</t>
  </si>
  <si>
    <t>Снятие пружин на входных дверях</t>
  </si>
  <si>
    <t>1 прибор</t>
  </si>
  <si>
    <t>3.</t>
  </si>
  <si>
    <t>3.1.</t>
  </si>
  <si>
    <t>3.2.</t>
  </si>
  <si>
    <t>ремонт и укрепление входных дверей:</t>
  </si>
  <si>
    <t xml:space="preserve"> - смена дверных петель</t>
  </si>
  <si>
    <t>1 петля</t>
  </si>
  <si>
    <t xml:space="preserve"> - ремонт дверных полотен</t>
  </si>
  <si>
    <t xml:space="preserve"> 1 м2 полотна</t>
  </si>
  <si>
    <t>3.3.</t>
  </si>
  <si>
    <t>Прочистка:</t>
  </si>
  <si>
    <t xml:space="preserve"> - дымовых каналов</t>
  </si>
  <si>
    <t>1м</t>
  </si>
  <si>
    <t xml:space="preserve"> - вентиляционных каналов</t>
  </si>
  <si>
    <t>3.4.</t>
  </si>
  <si>
    <t>Удаление с кровель снега и наледи</t>
  </si>
  <si>
    <t>1 м2 кровли</t>
  </si>
  <si>
    <t>Техническое обслуживание внутридомового инженерного оборудования</t>
  </si>
  <si>
    <t>Осмотр систем ценрального отопления:</t>
  </si>
  <si>
    <t xml:space="preserve"> - в квартирах</t>
  </si>
  <si>
    <t xml:space="preserve"> - в чердачных и подвальных помещениях</t>
  </si>
  <si>
    <t>1000 м2 осматриваемых помещений</t>
  </si>
  <si>
    <t>Осмотр водопровода, канализации и горячего водоснабжения</t>
  </si>
  <si>
    <t>Квартир</t>
  </si>
  <si>
    <t>Осмотр линий электрических сетей, арматуры и электрооборудования:</t>
  </si>
  <si>
    <t xml:space="preserve"> - на лестничных площадках</t>
  </si>
  <si>
    <t>эл/мотор</t>
  </si>
  <si>
    <t>Смена прокладок в водопроводных кранах</t>
  </si>
  <si>
    <t>1 кран</t>
  </si>
  <si>
    <t>Уплотнение сгонов</t>
  </si>
  <si>
    <t>1 соединение</t>
  </si>
  <si>
    <t>Прочистка внутренней канализации</t>
  </si>
  <si>
    <t>1.10.</t>
  </si>
  <si>
    <t>Набивка сальников в вентилях, кранах, задвижках</t>
  </si>
  <si>
    <t>1 вентиль (кран, задвижка)</t>
  </si>
  <si>
    <t>1.11.</t>
  </si>
  <si>
    <t>Укрепление трубопроводов</t>
  </si>
  <si>
    <t>1 крепление</t>
  </si>
  <si>
    <t>1.12.</t>
  </si>
  <si>
    <t>Устранение течи из гибких подводок присоединения санитарных приборов</t>
  </si>
  <si>
    <t>1.13.</t>
  </si>
  <si>
    <t>Временная заделка свищей и трещин на внутренних трубопроводах и стояках</t>
  </si>
  <si>
    <t>1 место</t>
  </si>
  <si>
    <t>1.14.</t>
  </si>
  <si>
    <t>Замена перегоревших электроламп в МОП</t>
  </si>
  <si>
    <t>1 лампа</t>
  </si>
  <si>
    <t>Ремонт штепсельных розеток и выключателей в МОП</t>
  </si>
  <si>
    <t xml:space="preserve"> 1 розетка (выключатель)</t>
  </si>
  <si>
    <t>Мелкий ремонт электропроводки</t>
  </si>
  <si>
    <t>1 м</t>
  </si>
  <si>
    <t>Проверка заземления ванн</t>
  </si>
  <si>
    <t>1 ванна</t>
  </si>
  <si>
    <t>Консервация системы центрального  отопления</t>
  </si>
  <si>
    <t>100 м трубопровода</t>
  </si>
  <si>
    <t>Утепление трубопроводов в чердачных и подвальных помещениях</t>
  </si>
  <si>
    <t xml:space="preserve">1 м2 </t>
  </si>
  <si>
    <t>Утепление бойлеров</t>
  </si>
  <si>
    <t>1 бойлер</t>
  </si>
  <si>
    <t>Промывка трубопроводов системы центрального отопления</t>
  </si>
  <si>
    <t>100 м3 зданий</t>
  </si>
  <si>
    <t>Испытание трубопроводов системы центрального отопления</t>
  </si>
  <si>
    <t>3.5.</t>
  </si>
  <si>
    <t>Ликвидация воздушных пробок в системе отопления</t>
  </si>
  <si>
    <t>1 стояк</t>
  </si>
  <si>
    <t>3.6.</t>
  </si>
  <si>
    <t>3.7.</t>
  </si>
  <si>
    <t>Содержание помещений и придомовой территории</t>
  </si>
  <si>
    <t>Содержание придомовой территории</t>
  </si>
  <si>
    <t>Уборка придомовой территории</t>
  </si>
  <si>
    <t>м2</t>
  </si>
  <si>
    <t>Ремонт оборудования детских и спортивных площадок</t>
  </si>
  <si>
    <t>шт.</t>
  </si>
  <si>
    <t>Озеленение территории, уход за зелеными насаждениями</t>
  </si>
  <si>
    <t>Уборка лестничных клеток</t>
  </si>
  <si>
    <t xml:space="preserve"> - здания от 2 до 5 этажей (оборудование отсутствует)</t>
  </si>
  <si>
    <t>1 м2 площади лестничных клеток</t>
  </si>
  <si>
    <t xml:space="preserve"> - здания от 6 до 9 этажей оборудованные лифтами</t>
  </si>
  <si>
    <t>Прочие работы по содержанию и техническому обслуживанию</t>
  </si>
  <si>
    <t>Дератизация помещений</t>
  </si>
  <si>
    <t>1 м2 помещений</t>
  </si>
  <si>
    <t>Общая характеристика</t>
  </si>
  <si>
    <t>Общая площадь квартир</t>
  </si>
  <si>
    <t>тыс. м2</t>
  </si>
  <si>
    <t>Количество жилых домов</t>
  </si>
  <si>
    <t xml:space="preserve">шт. </t>
  </si>
  <si>
    <t>Количество квартир</t>
  </si>
  <si>
    <t>Руководитель предприятия</t>
  </si>
  <si>
    <t>План по содержанию и техническому обслуживанию жилищного фонда</t>
  </si>
  <si>
    <t>Услуги АДС</t>
  </si>
  <si>
    <t>1м2 об.площади</t>
  </si>
  <si>
    <t>Привлеченный автотранспорт(очистка,вывоз снега,откачка выгребных ям,вышка и т.д.)</t>
  </si>
  <si>
    <t>Очистка балконных козырьков от снега</t>
  </si>
  <si>
    <t>шт</t>
  </si>
  <si>
    <t>Замена почтовых ящиков</t>
  </si>
  <si>
    <t>блок-секция</t>
  </si>
  <si>
    <t>Техническое обслуживание домофонов</t>
  </si>
  <si>
    <t>Замена ламп ДРЛ</t>
  </si>
  <si>
    <t>Профилактический ремонт ВРУ(замена плавких вставок)</t>
  </si>
  <si>
    <t xml:space="preserve"> лестничных площадок</t>
  </si>
  <si>
    <t>Иркутский тракт,85</t>
  </si>
  <si>
    <t>Постановка пружин на входных дверях</t>
  </si>
  <si>
    <t>1 квартал</t>
  </si>
  <si>
    <t>2 квартал</t>
  </si>
  <si>
    <t>3 квартал</t>
  </si>
  <si>
    <t>4 квартал</t>
  </si>
  <si>
    <t>Замена вентилей</t>
  </si>
  <si>
    <t>1 шт</t>
  </si>
  <si>
    <t>Итого конструктивные элементы</t>
  </si>
  <si>
    <t>Итого по ВДО</t>
  </si>
  <si>
    <t>Итого по содержанию помещений и  придомовой территории</t>
  </si>
  <si>
    <t>Общеэксплуатационные расходы (Затраты на содержание УК)</t>
  </si>
  <si>
    <t>Итого по прочим работам</t>
  </si>
  <si>
    <t>Итого по содержанию и техническому обслуживанию дома</t>
  </si>
  <si>
    <t>Прочие затраты</t>
  </si>
  <si>
    <t>Итого по прочим затратам</t>
  </si>
  <si>
    <t>ВСЕГО,содержание жилищного фонда</t>
  </si>
  <si>
    <t>Замена автоматических выключателей</t>
  </si>
  <si>
    <t>Замена пакетных выключателей</t>
  </si>
  <si>
    <t>1.15.</t>
  </si>
  <si>
    <t>1.16.</t>
  </si>
  <si>
    <t xml:space="preserve"> - силовые установки (ВНС, агрегаты подкачки холодной воды)</t>
  </si>
  <si>
    <t>СОГЛАСОВАНО</t>
  </si>
  <si>
    <t>Октябрьского района</t>
  </si>
  <si>
    <t>Клюева,3</t>
  </si>
  <si>
    <t>Клюева,5</t>
  </si>
  <si>
    <t>Клюева,18</t>
  </si>
  <si>
    <t>Клюева,20</t>
  </si>
  <si>
    <t>Клюева,26</t>
  </si>
  <si>
    <t>Обручева,14</t>
  </si>
  <si>
    <t>Обручева,18</t>
  </si>
  <si>
    <t>Обручева,26</t>
  </si>
  <si>
    <t>Бирюкова,6</t>
  </si>
  <si>
    <t>Бирюкова,11</t>
  </si>
  <si>
    <t>Бирюкова,3</t>
  </si>
  <si>
    <t>Бирюкова,5</t>
  </si>
  <si>
    <t>Бирюкова,7</t>
  </si>
  <si>
    <t>Бирюкова,7 А</t>
  </si>
  <si>
    <t>Профилактический ремонт ВРУ</t>
  </si>
  <si>
    <t>____________________С.Г.Казаркина</t>
  </si>
  <si>
    <t>_____" ______________ 2010 г.</t>
  </si>
  <si>
    <r>
      <t>ООО УК"Энергия"</t>
    </r>
    <r>
      <rPr>
        <b/>
        <sz val="8"/>
        <rFont val="Arial Cyr"/>
        <family val="0"/>
      </rPr>
      <t xml:space="preserve">  на 2010 года</t>
    </r>
  </si>
  <si>
    <r>
      <t>ООО  УК"Энергия"</t>
    </r>
    <r>
      <rPr>
        <b/>
        <sz val="8"/>
        <rFont val="Arial Cyr"/>
        <family val="0"/>
      </rPr>
      <t xml:space="preserve">  на 2010 года</t>
    </r>
  </si>
  <si>
    <t>Аварийно-диспетчерское обслуживание</t>
  </si>
  <si>
    <t>час</t>
  </si>
  <si>
    <t>Оплата услуг специализированного предприятия по содержанию и обслуживанию лифтового хозяйства</t>
  </si>
  <si>
    <t>Расходы УК</t>
  </si>
  <si>
    <t>Итого затрат на содержание и обслуживание лифтового хозяйства</t>
  </si>
  <si>
    <t>Оплата услуг специализированного предприятия по содержанию и обслуживанию приборов учета тепловой энергии</t>
  </si>
  <si>
    <t>Итого затрат на содержание и обслуживание приборов учета тепловой энергии</t>
  </si>
  <si>
    <t xml:space="preserve">1000 м2 жилой </t>
  </si>
  <si>
    <t>Оплата услуг специализированного предприятия на вывоз и захоронение ТБО</t>
  </si>
  <si>
    <t>Итого затрат на вывоз и захоронение ТБО</t>
  </si>
  <si>
    <t>Замена почтовых ящиков под.№ 1,2,3,8,9</t>
  </si>
  <si>
    <t>Содержание УК</t>
  </si>
  <si>
    <t xml:space="preserve"> Глава администрации</t>
  </si>
  <si>
    <t>________________В.В.Неверов</t>
  </si>
  <si>
    <t>Собственники жилых помещений</t>
  </si>
  <si>
    <t>_________________________________</t>
  </si>
  <si>
    <t>м2/</t>
  </si>
  <si>
    <t xml:space="preserve">Собственники жилых помещений </t>
  </si>
  <si>
    <t>________________________________________</t>
  </si>
  <si>
    <t>_________________________________________</t>
  </si>
  <si>
    <t>________________________________</t>
  </si>
  <si>
    <t>______________________________</t>
  </si>
  <si>
    <t>________________ В.В.Неверов</t>
  </si>
  <si>
    <t>УТВЕРЖДАЮ:</t>
  </si>
  <si>
    <t>Директор ООО УК"Энергия"</t>
  </si>
  <si>
    <t>__________________ Казаркина С.Г.</t>
  </si>
  <si>
    <t>_______________________________</t>
  </si>
  <si>
    <t>УТВЕРЖДАЮ</t>
  </si>
  <si>
    <t>_________________ С.Г.Казаркина</t>
  </si>
  <si>
    <t>________________В.В. Неверов</t>
  </si>
  <si>
    <t>УТАЕРЖДАЮ:</t>
  </si>
  <si>
    <t>______________________ С.Г.Казаркина</t>
  </si>
  <si>
    <t>__________________________________</t>
  </si>
  <si>
    <t>____________________ С.Г.Казаркина</t>
  </si>
  <si>
    <t>_______________________ С.Г.Казаркина</t>
  </si>
  <si>
    <t>Собственники помещений</t>
  </si>
  <si>
    <t>__________________ С.Г.Казаркина</t>
  </si>
  <si>
    <t>___________________ С.Г.Казаркина</t>
  </si>
  <si>
    <t>________________________ С.Г.Казаркина</t>
  </si>
  <si>
    <t>Утверждаю</t>
  </si>
  <si>
    <t>_____________________ С.Г.Казаркина</t>
  </si>
  <si>
    <t>Работы, выполняемые при подготовке жилых зданий к эксплуатации в весенний период</t>
  </si>
  <si>
    <t>_____________________________________</t>
  </si>
  <si>
    <t>Директор ООО  УК"Энергия"</t>
  </si>
  <si>
    <t>___________________________________</t>
  </si>
  <si>
    <t>Иркутский такт,89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</si>
</sst>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0.0"/>
  </numFmts>
  <fonts count="1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u val="single"/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u val="single"/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/>
    </xf>
    <xf numFmtId="0" fontId="0" fillId="0" borderId="1" xfId="0" applyFont="1" applyBorder="1" applyAlignment="1" quotePrefix="1">
      <alignment horizontal="left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2" fillId="0" borderId="0" xfId="0" applyNumberFormat="1" applyFont="1" applyFill="1" applyAlignment="1">
      <alignment/>
    </xf>
    <xf numFmtId="0" fontId="3" fillId="0" borderId="2" xfId="0" applyFont="1" applyFill="1" applyBorder="1" applyAlignment="1">
      <alignment/>
    </xf>
    <xf numFmtId="0" fontId="0" fillId="0" borderId="1" xfId="0" applyFont="1" applyBorder="1" applyAlignment="1" quotePrefix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 quotePrefix="1">
      <alignment horizontal="left" wrapText="1"/>
    </xf>
    <xf numFmtId="2" fontId="0" fillId="0" borderId="3" xfId="0" applyNumberFormat="1" applyFont="1" applyFill="1" applyBorder="1" applyAlignment="1">
      <alignment horizontal="center" vertical="center" wrapText="1"/>
    </xf>
    <xf numFmtId="2" fontId="0" fillId="0" borderId="3" xfId="0" applyNumberFormat="1" applyFont="1" applyFill="1" applyBorder="1" applyAlignment="1">
      <alignment/>
    </xf>
    <xf numFmtId="2" fontId="0" fillId="0" borderId="3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2" fontId="1" fillId="0" borderId="3" xfId="0" applyNumberFormat="1" applyFont="1" applyFill="1" applyBorder="1" applyAlignment="1">
      <alignment/>
    </xf>
    <xf numFmtId="2" fontId="0" fillId="0" borderId="3" xfId="0" applyNumberFormat="1" applyFont="1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ont="1" applyBorder="1" applyAlignment="1">
      <alignment/>
    </xf>
    <xf numFmtId="0" fontId="1" fillId="0" borderId="1" xfId="0" applyFont="1" applyFill="1" applyBorder="1" applyAlignment="1">
      <alignment/>
    </xf>
    <xf numFmtId="2" fontId="1" fillId="0" borderId="3" xfId="0" applyNumberFormat="1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 quotePrefix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2" fontId="1" fillId="0" borderId="1" xfId="0" applyNumberFormat="1" applyFont="1" applyBorder="1" applyAlignment="1">
      <alignment wrapText="1"/>
    </xf>
    <xf numFmtId="2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 quotePrefix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horizontal="left" wrapText="1"/>
    </xf>
    <xf numFmtId="2" fontId="1" fillId="0" borderId="4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 quotePrefix="1">
      <alignment horizontal="center"/>
    </xf>
    <xf numFmtId="2" fontId="1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ill="1" applyBorder="1" applyAlignment="1">
      <alignment/>
    </xf>
    <xf numFmtId="2" fontId="1" fillId="0" borderId="5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2" fontId="0" fillId="0" borderId="3" xfId="0" applyNumberFormat="1" applyFont="1" applyFill="1" applyBorder="1" applyAlignment="1" quotePrefix="1">
      <alignment horizontal="right"/>
    </xf>
    <xf numFmtId="165" fontId="0" fillId="0" borderId="0" xfId="0" applyNumberFormat="1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3" xfId="0" applyFont="1" applyBorder="1" applyAlignment="1" quotePrefix="1">
      <alignment horizontal="left"/>
    </xf>
    <xf numFmtId="10" fontId="0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 quotePrefix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/>
    </xf>
    <xf numFmtId="2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2" fillId="0" borderId="0" xfId="0" applyFont="1" applyAlignment="1" quotePrefix="1">
      <alignment horizontal="left"/>
    </xf>
    <xf numFmtId="2" fontId="1" fillId="0" borderId="6" xfId="0" applyNumberFormat="1" applyFont="1" applyFill="1" applyBorder="1" applyAlignment="1">
      <alignment/>
    </xf>
    <xf numFmtId="0" fontId="0" fillId="0" borderId="1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66" fontId="0" fillId="0" borderId="1" xfId="0" applyNumberFormat="1" applyFill="1" applyBorder="1" applyAlignment="1">
      <alignment/>
    </xf>
    <xf numFmtId="166" fontId="3" fillId="0" borderId="2" xfId="0" applyNumberFormat="1" applyFont="1" applyFill="1" applyBorder="1" applyAlignment="1">
      <alignment/>
    </xf>
    <xf numFmtId="166" fontId="1" fillId="0" borderId="3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166" fontId="1" fillId="0" borderId="3" xfId="0" applyNumberFormat="1" applyFont="1" applyFill="1" applyBorder="1" applyAlignment="1">
      <alignment/>
    </xf>
    <xf numFmtId="166" fontId="0" fillId="0" borderId="3" xfId="0" applyNumberFormat="1" applyFont="1" applyFill="1" applyBorder="1" applyAlignment="1" quotePrefix="1">
      <alignment/>
    </xf>
    <xf numFmtId="166" fontId="0" fillId="0" borderId="3" xfId="0" applyNumberFormat="1" applyFont="1" applyFill="1" applyBorder="1" applyAlignment="1">
      <alignment/>
    </xf>
    <xf numFmtId="166" fontId="1" fillId="0" borderId="4" xfId="0" applyNumberFormat="1" applyFont="1" applyFill="1" applyBorder="1" applyAlignment="1">
      <alignment wrapText="1"/>
    </xf>
    <xf numFmtId="166" fontId="1" fillId="0" borderId="1" xfId="0" applyNumberFormat="1" applyFont="1" applyFill="1" applyBorder="1" applyAlignment="1">
      <alignment wrapText="1"/>
    </xf>
    <xf numFmtId="0" fontId="0" fillId="0" borderId="0" xfId="0" applyFill="1" applyAlignment="1">
      <alignment horizontal="left"/>
    </xf>
    <xf numFmtId="166" fontId="0" fillId="0" borderId="0" xfId="0" applyNumberFormat="1" applyFill="1" applyAlignment="1">
      <alignment/>
    </xf>
    <xf numFmtId="2" fontId="1" fillId="0" borderId="0" xfId="0" applyNumberFormat="1" applyFont="1" applyFill="1" applyBorder="1" applyAlignment="1">
      <alignment/>
    </xf>
    <xf numFmtId="0" fontId="7" fillId="0" borderId="0" xfId="0" applyFont="1" applyAlignment="1" quotePrefix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 quotePrefix="1">
      <alignment horizontal="right"/>
    </xf>
    <xf numFmtId="0" fontId="0" fillId="0" borderId="0" xfId="0" applyFill="1" applyAlignment="1" quotePrefix="1">
      <alignment horizontal="left"/>
    </xf>
    <xf numFmtId="10" fontId="0" fillId="0" borderId="1" xfId="0" applyNumberFormat="1" applyFont="1" applyBorder="1" applyAlignment="1">
      <alignment horizontal="center" wrapText="1"/>
    </xf>
    <xf numFmtId="0" fontId="0" fillId="0" borderId="0" xfId="0" applyFont="1" applyAlignment="1" quotePrefix="1">
      <alignment horizontal="left"/>
    </xf>
    <xf numFmtId="2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2" xfId="0" applyFont="1" applyFill="1" applyBorder="1" applyAlignment="1" quotePrefix="1">
      <alignment horizontal="left" wrapText="1"/>
    </xf>
    <xf numFmtId="0" fontId="1" fillId="0" borderId="3" xfId="0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 quotePrefix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 quotePrefix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6" fillId="0" borderId="3" xfId="0" applyFont="1" applyFill="1" applyBorder="1" applyAlignment="1">
      <alignment horizontal="left" wrapText="1"/>
    </xf>
    <xf numFmtId="0" fontId="6" fillId="0" borderId="2" xfId="0" applyFont="1" applyFill="1" applyBorder="1" applyAlignment="1" quotePrefix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0" fillId="0" borderId="7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2" fontId="0" fillId="0" borderId="0" xfId="0" applyNumberForma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7" fillId="0" borderId="0" xfId="0" applyFont="1" applyAlignment="1" quotePrefix="1">
      <alignment horizontal="center"/>
    </xf>
    <xf numFmtId="2" fontId="0" fillId="0" borderId="0" xfId="0" applyNumberFormat="1" applyFill="1" applyAlignment="1" quotePrefix="1">
      <alignment horizontal="right"/>
    </xf>
    <xf numFmtId="0" fontId="2" fillId="0" borderId="0" xfId="0" applyFont="1" applyFill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2" fontId="0" fillId="0" borderId="7" xfId="0" applyNumberFormat="1" applyFill="1" applyBorder="1" applyAlignment="1">
      <alignment horizontal="center" wrapText="1"/>
    </xf>
    <xf numFmtId="2" fontId="0" fillId="0" borderId="8" xfId="0" applyNumberForma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Alignment="1" quotePrefix="1">
      <alignment horizontal="right"/>
    </xf>
    <xf numFmtId="0" fontId="6" fillId="0" borderId="3" xfId="0" applyFont="1" applyBorder="1" applyAlignment="1">
      <alignment horizontal="left" wrapText="1"/>
    </xf>
    <xf numFmtId="0" fontId="6" fillId="0" borderId="2" xfId="0" applyFont="1" applyBorder="1" applyAlignment="1" quotePrefix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 quotePrefix="1">
      <alignment horizontal="left"/>
    </xf>
    <xf numFmtId="0" fontId="5" fillId="0" borderId="1" xfId="0" applyFont="1" applyBorder="1" applyAlignment="1">
      <alignment horizontal="center"/>
    </xf>
    <xf numFmtId="0" fontId="3" fillId="0" borderId="3" xfId="0" applyFont="1" applyFill="1" applyBorder="1" applyAlignment="1" quotePrefix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3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 quotePrefix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2:L110"/>
  <sheetViews>
    <sheetView workbookViewId="0" topLeftCell="A103">
      <selection activeCell="B10" sqref="B10"/>
    </sheetView>
  </sheetViews>
  <sheetFormatPr defaultColWidth="9.00390625" defaultRowHeight="12.75"/>
  <cols>
    <col min="1" max="1" width="5.125" style="0" customWidth="1"/>
    <col min="2" max="2" width="61.00390625" style="0" customWidth="1"/>
    <col min="3" max="3" width="13.75390625" style="0" customWidth="1"/>
    <col min="4" max="4" width="9.375" style="13" customWidth="1"/>
    <col min="5" max="5" width="10.125" style="23" customWidth="1"/>
    <col min="6" max="6" width="9.625" style="23" customWidth="1"/>
    <col min="7" max="7" width="10.25390625" style="23" bestFit="1" customWidth="1"/>
    <col min="8" max="8" width="9.625" style="24" bestFit="1" customWidth="1"/>
    <col min="9" max="9" width="10.00390625" style="24" customWidth="1"/>
    <col min="10" max="10" width="10.625" style="0" bestFit="1" customWidth="1"/>
  </cols>
  <sheetData>
    <row r="2" spans="2:9" ht="12.75">
      <c r="B2" t="s">
        <v>207</v>
      </c>
      <c r="G2" s="157" t="s">
        <v>159</v>
      </c>
      <c r="H2" s="157"/>
      <c r="I2" s="157"/>
    </row>
    <row r="3" spans="2:9" ht="12.75">
      <c r="B3" t="s">
        <v>204</v>
      </c>
      <c r="F3" s="157" t="s">
        <v>192</v>
      </c>
      <c r="G3" s="157"/>
      <c r="H3" s="157"/>
      <c r="I3" s="157"/>
    </row>
    <row r="4" spans="2:9" ht="12.75">
      <c r="B4" t="s">
        <v>218</v>
      </c>
      <c r="G4" s="157" t="s">
        <v>160</v>
      </c>
      <c r="H4" s="157"/>
      <c r="I4" s="157"/>
    </row>
    <row r="5" spans="7:9" ht="12.75">
      <c r="G5" s="161" t="s">
        <v>193</v>
      </c>
      <c r="H5" s="157"/>
      <c r="I5" s="157"/>
    </row>
    <row r="6" spans="7:9" ht="12.75">
      <c r="G6" s="157" t="s">
        <v>177</v>
      </c>
      <c r="H6" s="157"/>
      <c r="I6" s="157"/>
    </row>
    <row r="7" ht="12.75">
      <c r="A7" s="1"/>
    </row>
    <row r="8" spans="1:9" ht="12.75">
      <c r="A8" s="158" t="s">
        <v>125</v>
      </c>
      <c r="B8" s="158"/>
      <c r="C8" s="158"/>
      <c r="D8" s="158"/>
      <c r="E8" s="158"/>
      <c r="F8" s="158"/>
      <c r="G8" s="158"/>
      <c r="H8" s="158"/>
      <c r="I8" s="158"/>
    </row>
    <row r="9" spans="1:9" ht="12.75">
      <c r="A9" s="159" t="s">
        <v>137</v>
      </c>
      <c r="B9" s="158"/>
      <c r="C9" s="158"/>
      <c r="D9" s="158"/>
      <c r="E9" s="158"/>
      <c r="F9" s="158"/>
      <c r="G9" s="158"/>
      <c r="H9" s="158"/>
      <c r="I9" s="158"/>
    </row>
    <row r="10" spans="1:9" ht="12.75">
      <c r="A10" s="70"/>
      <c r="B10" s="2"/>
      <c r="C10" s="2"/>
      <c r="D10" s="2"/>
      <c r="E10" s="2"/>
      <c r="F10" s="75"/>
      <c r="G10" s="75"/>
      <c r="H10" s="75"/>
      <c r="I10" s="2"/>
    </row>
    <row r="11" spans="1:9" ht="12.75">
      <c r="A11" s="160" t="s">
        <v>178</v>
      </c>
      <c r="B11" s="160"/>
      <c r="C11" s="160"/>
      <c r="D11" s="160"/>
      <c r="E11" s="160"/>
      <c r="F11" s="160"/>
      <c r="G11" s="160"/>
      <c r="H11" s="160"/>
      <c r="I11" s="160"/>
    </row>
    <row r="12" spans="1:5" ht="12.75">
      <c r="A12" s="48"/>
      <c r="B12" s="47"/>
      <c r="C12" s="47"/>
      <c r="D12" s="47"/>
      <c r="E12" s="47"/>
    </row>
    <row r="13" spans="1:9" ht="12.75" customHeight="1">
      <c r="A13" s="131" t="s">
        <v>0</v>
      </c>
      <c r="B13" s="131" t="s">
        <v>1</v>
      </c>
      <c r="C13" s="131" t="s">
        <v>2</v>
      </c>
      <c r="D13" s="132" t="s">
        <v>3</v>
      </c>
      <c r="E13" s="133"/>
      <c r="F13" s="153" t="s">
        <v>139</v>
      </c>
      <c r="G13" s="153" t="s">
        <v>140</v>
      </c>
      <c r="H13" s="155" t="s">
        <v>141</v>
      </c>
      <c r="I13" s="155" t="s">
        <v>142</v>
      </c>
    </row>
    <row r="14" spans="1:9" ht="47.25" customHeight="1">
      <c r="A14" s="131"/>
      <c r="B14" s="131"/>
      <c r="C14" s="131"/>
      <c r="D14" s="17" t="s">
        <v>4</v>
      </c>
      <c r="E14" s="30" t="s">
        <v>5</v>
      </c>
      <c r="F14" s="154"/>
      <c r="G14" s="154"/>
      <c r="H14" s="156"/>
      <c r="I14" s="156"/>
    </row>
    <row r="15" spans="1:9" ht="12.75">
      <c r="A15" s="44" t="s">
        <v>6</v>
      </c>
      <c r="B15" s="4"/>
      <c r="C15" s="4"/>
      <c r="D15" s="15"/>
      <c r="E15" s="31"/>
      <c r="F15" s="36"/>
      <c r="G15" s="36"/>
      <c r="H15" s="37"/>
      <c r="I15" s="37"/>
    </row>
    <row r="16" spans="1:9" ht="12.75">
      <c r="A16" s="5" t="s">
        <v>7</v>
      </c>
      <c r="B16" s="129" t="s">
        <v>8</v>
      </c>
      <c r="C16" s="129"/>
      <c r="D16" s="129"/>
      <c r="E16" s="130"/>
      <c r="F16" s="36"/>
      <c r="G16" s="36"/>
      <c r="H16" s="37"/>
      <c r="I16" s="37"/>
    </row>
    <row r="17" spans="1:9" ht="25.5">
      <c r="A17" s="6" t="s">
        <v>9</v>
      </c>
      <c r="B17" s="6" t="s">
        <v>10</v>
      </c>
      <c r="C17" s="7" t="s">
        <v>11</v>
      </c>
      <c r="D17" s="18">
        <v>6</v>
      </c>
      <c r="E17" s="32">
        <f>D17*0.7</f>
        <v>4.199999999999999</v>
      </c>
      <c r="F17" s="36"/>
      <c r="G17" s="36">
        <v>2.1</v>
      </c>
      <c r="H17" s="37">
        <v>2.1</v>
      </c>
      <c r="I17" s="37"/>
    </row>
    <row r="18" spans="1:9" ht="24.75" customHeight="1">
      <c r="A18" s="6" t="s">
        <v>12</v>
      </c>
      <c r="B18" s="8" t="s">
        <v>13</v>
      </c>
      <c r="C18" s="7" t="s">
        <v>14</v>
      </c>
      <c r="D18" s="18"/>
      <c r="E18" s="32"/>
      <c r="F18" s="36"/>
      <c r="G18" s="36"/>
      <c r="H18" s="37"/>
      <c r="I18" s="37"/>
    </row>
    <row r="19" spans="1:9" s="24" customFormat="1" ht="27" customHeight="1">
      <c r="A19" s="20" t="s">
        <v>15</v>
      </c>
      <c r="B19" s="21" t="s">
        <v>16</v>
      </c>
      <c r="C19" s="22" t="s">
        <v>14</v>
      </c>
      <c r="D19" s="18">
        <f>13.99*2</f>
        <v>27.98</v>
      </c>
      <c r="E19" s="32">
        <f>D19*0.4</f>
        <v>11.192</v>
      </c>
      <c r="F19" s="36"/>
      <c r="G19" s="36">
        <f>E19/2</f>
        <v>5.596</v>
      </c>
      <c r="H19" s="36">
        <f>E19-G19</f>
        <v>5.596</v>
      </c>
      <c r="I19" s="37"/>
    </row>
    <row r="20" spans="1:9" ht="28.5" customHeight="1">
      <c r="A20" s="6" t="s">
        <v>17</v>
      </c>
      <c r="B20" s="8" t="s">
        <v>18</v>
      </c>
      <c r="C20" s="7" t="s">
        <v>14</v>
      </c>
      <c r="D20" s="18">
        <v>27.98</v>
      </c>
      <c r="E20" s="32">
        <f>D20*0.4</f>
        <v>11.192</v>
      </c>
      <c r="F20" s="36"/>
      <c r="G20" s="36">
        <v>5.6</v>
      </c>
      <c r="H20" s="37">
        <v>5.6</v>
      </c>
      <c r="I20" s="37"/>
    </row>
    <row r="21" spans="1:9" ht="38.25">
      <c r="A21" s="6" t="s">
        <v>19</v>
      </c>
      <c r="B21" s="8" t="s">
        <v>20</v>
      </c>
      <c r="C21" s="7" t="s">
        <v>14</v>
      </c>
      <c r="D21" s="18">
        <v>27.98</v>
      </c>
      <c r="E21" s="32">
        <f>D21*0.3</f>
        <v>8.394</v>
      </c>
      <c r="F21" s="36"/>
      <c r="G21" s="36">
        <f>E21/2</f>
        <v>4.197</v>
      </c>
      <c r="H21" s="36">
        <f>E21-G21</f>
        <v>4.197</v>
      </c>
      <c r="I21" s="37"/>
    </row>
    <row r="22" spans="1:9" ht="28.5" customHeight="1">
      <c r="A22" s="6" t="s">
        <v>21</v>
      </c>
      <c r="B22" s="8" t="s">
        <v>22</v>
      </c>
      <c r="C22" s="7" t="s">
        <v>14</v>
      </c>
      <c r="D22" s="18">
        <v>27.98</v>
      </c>
      <c r="E22" s="32">
        <f>D22*0.4</f>
        <v>11.192</v>
      </c>
      <c r="F22" s="36"/>
      <c r="G22" s="36">
        <v>5.6</v>
      </c>
      <c r="H22" s="37">
        <v>5.6</v>
      </c>
      <c r="I22" s="37"/>
    </row>
    <row r="23" spans="1:9" ht="12.75">
      <c r="A23" s="6" t="s">
        <v>23</v>
      </c>
      <c r="B23" s="6" t="s">
        <v>24</v>
      </c>
      <c r="C23" s="7" t="s">
        <v>25</v>
      </c>
      <c r="D23" s="18"/>
      <c r="E23" s="32"/>
      <c r="F23" s="36"/>
      <c r="G23" s="36"/>
      <c r="H23" s="37"/>
      <c r="I23" s="37"/>
    </row>
    <row r="24" spans="1:9" ht="25.5">
      <c r="A24" s="6" t="s">
        <v>26</v>
      </c>
      <c r="B24" s="8" t="s">
        <v>27</v>
      </c>
      <c r="C24" s="7" t="s">
        <v>25</v>
      </c>
      <c r="D24" s="16"/>
      <c r="E24" s="32"/>
      <c r="F24" s="36"/>
      <c r="G24" s="36"/>
      <c r="H24" s="37"/>
      <c r="I24" s="37"/>
    </row>
    <row r="25" spans="1:9" ht="25.5" customHeight="1">
      <c r="A25" s="6" t="s">
        <v>28</v>
      </c>
      <c r="B25" s="8" t="s">
        <v>29</v>
      </c>
      <c r="C25" s="7" t="s">
        <v>30</v>
      </c>
      <c r="D25" s="16"/>
      <c r="E25" s="32"/>
      <c r="F25" s="36"/>
      <c r="G25" s="36"/>
      <c r="H25" s="37"/>
      <c r="I25" s="37"/>
    </row>
    <row r="26" spans="1:9" ht="29.25" customHeight="1">
      <c r="A26" s="6" t="s">
        <v>31</v>
      </c>
      <c r="B26" s="127" t="s">
        <v>32</v>
      </c>
      <c r="C26" s="128"/>
      <c r="D26" s="128"/>
      <c r="E26" s="26"/>
      <c r="F26" s="36"/>
      <c r="G26" s="36"/>
      <c r="H26" s="37"/>
      <c r="I26" s="37"/>
    </row>
    <row r="27" spans="1:9" ht="24.75" customHeight="1">
      <c r="A27" s="6" t="s">
        <v>33</v>
      </c>
      <c r="B27" s="8" t="s">
        <v>34</v>
      </c>
      <c r="C27" s="9" t="s">
        <v>35</v>
      </c>
      <c r="D27" s="16"/>
      <c r="E27" s="32"/>
      <c r="F27" s="36"/>
      <c r="G27" s="36"/>
      <c r="H27" s="37"/>
      <c r="I27" s="37"/>
    </row>
    <row r="28" spans="1:9" ht="12.75">
      <c r="A28" s="6" t="s">
        <v>36</v>
      </c>
      <c r="B28" s="6" t="s">
        <v>37</v>
      </c>
      <c r="C28" s="9" t="s">
        <v>38</v>
      </c>
      <c r="D28" s="16"/>
      <c r="E28" s="32"/>
      <c r="F28" s="36"/>
      <c r="G28" s="36"/>
      <c r="H28" s="37"/>
      <c r="I28" s="37"/>
    </row>
    <row r="29" spans="1:9" ht="25.5" customHeight="1">
      <c r="A29" s="6" t="s">
        <v>39</v>
      </c>
      <c r="B29" s="127" t="s">
        <v>32</v>
      </c>
      <c r="C29" s="128"/>
      <c r="D29" s="128"/>
      <c r="E29" s="26"/>
      <c r="F29" s="36"/>
      <c r="G29" s="36"/>
      <c r="H29" s="37"/>
      <c r="I29" s="37"/>
    </row>
    <row r="30" spans="1:9" ht="12.75">
      <c r="A30" s="6" t="s">
        <v>40</v>
      </c>
      <c r="B30" s="27" t="s">
        <v>138</v>
      </c>
      <c r="C30" s="9" t="s">
        <v>38</v>
      </c>
      <c r="D30" s="16">
        <v>15</v>
      </c>
      <c r="E30" s="32">
        <f>D30*0.1</f>
        <v>1.5</v>
      </c>
      <c r="F30" s="36">
        <f>E30/2</f>
        <v>0.75</v>
      </c>
      <c r="G30" s="36"/>
      <c r="H30" s="37">
        <v>0.75</v>
      </c>
      <c r="I30" s="37"/>
    </row>
    <row r="31" spans="1:9" ht="12.75">
      <c r="A31" s="6" t="s">
        <v>41</v>
      </c>
      <c r="B31" s="6" t="s">
        <v>42</v>
      </c>
      <c r="C31" s="9"/>
      <c r="D31" s="16"/>
      <c r="E31" s="32"/>
      <c r="F31" s="36"/>
      <c r="G31" s="36"/>
      <c r="H31" s="37"/>
      <c r="I31" s="37"/>
    </row>
    <row r="32" spans="1:9" ht="12.75">
      <c r="A32" s="6"/>
      <c r="B32" s="6" t="s">
        <v>43</v>
      </c>
      <c r="C32" s="9" t="s">
        <v>44</v>
      </c>
      <c r="D32" s="16">
        <v>10</v>
      </c>
      <c r="E32" s="32">
        <f>D32*0.05</f>
        <v>0.5</v>
      </c>
      <c r="F32" s="36"/>
      <c r="G32" s="36"/>
      <c r="H32" s="37">
        <v>0.5</v>
      </c>
      <c r="I32" s="37"/>
    </row>
    <row r="33" spans="1:9" ht="12.75">
      <c r="A33" s="6"/>
      <c r="B33" s="6" t="s">
        <v>45</v>
      </c>
      <c r="C33" s="9" t="s">
        <v>46</v>
      </c>
      <c r="D33" s="16"/>
      <c r="E33" s="32"/>
      <c r="F33" s="36"/>
      <c r="G33" s="36"/>
      <c r="H33" s="37"/>
      <c r="I33" s="37"/>
    </row>
    <row r="34" spans="1:9" ht="12.75">
      <c r="A34" s="6" t="s">
        <v>47</v>
      </c>
      <c r="B34" s="6" t="s">
        <v>48</v>
      </c>
      <c r="C34" s="9"/>
      <c r="D34" s="16"/>
      <c r="E34" s="32"/>
      <c r="F34" s="36"/>
      <c r="G34" s="36"/>
      <c r="H34" s="37"/>
      <c r="I34" s="37"/>
    </row>
    <row r="35" spans="1:9" ht="12.75">
      <c r="A35" s="6"/>
      <c r="B35" s="6" t="s">
        <v>49</v>
      </c>
      <c r="C35" s="9" t="s">
        <v>50</v>
      </c>
      <c r="D35" s="16"/>
      <c r="E35" s="32"/>
      <c r="F35" s="36"/>
      <c r="G35" s="36"/>
      <c r="H35" s="37"/>
      <c r="I35" s="37"/>
    </row>
    <row r="36" spans="1:9" ht="12.75">
      <c r="A36" s="6"/>
      <c r="B36" s="6" t="s">
        <v>51</v>
      </c>
      <c r="C36" s="9" t="s">
        <v>50</v>
      </c>
      <c r="D36" s="16"/>
      <c r="E36" s="32"/>
      <c r="F36" s="36"/>
      <c r="G36" s="36"/>
      <c r="H36" s="37"/>
      <c r="I36" s="37"/>
    </row>
    <row r="37" spans="1:9" ht="12.75">
      <c r="A37" s="6" t="s">
        <v>52</v>
      </c>
      <c r="B37" s="6" t="s">
        <v>53</v>
      </c>
      <c r="C37" s="9" t="s">
        <v>54</v>
      </c>
      <c r="D37" s="16">
        <v>3200</v>
      </c>
      <c r="E37" s="32">
        <f>D37*0.0134</f>
        <v>42.88</v>
      </c>
      <c r="F37" s="36">
        <v>42.88</v>
      </c>
      <c r="G37" s="36"/>
      <c r="H37" s="37"/>
      <c r="I37" s="37"/>
    </row>
    <row r="38" spans="1:9" ht="12.75">
      <c r="A38" s="38" t="s">
        <v>99</v>
      </c>
      <c r="B38" s="6" t="s">
        <v>190</v>
      </c>
      <c r="C38" s="9" t="s">
        <v>132</v>
      </c>
      <c r="D38" s="16">
        <v>30</v>
      </c>
      <c r="E38" s="32">
        <v>100</v>
      </c>
      <c r="F38" s="36">
        <v>100</v>
      </c>
      <c r="G38" s="36"/>
      <c r="H38" s="37"/>
      <c r="I38" s="37"/>
    </row>
    <row r="39" spans="1:9" ht="12.75" customHeight="1">
      <c r="A39" s="79" t="s">
        <v>102</v>
      </c>
      <c r="B39" s="21" t="s">
        <v>133</v>
      </c>
      <c r="C39" s="22" t="s">
        <v>61</v>
      </c>
      <c r="D39" s="18">
        <v>396</v>
      </c>
      <c r="E39" s="32">
        <f>F39+G39+H39+I39</f>
        <v>71.28</v>
      </c>
      <c r="F39" s="36">
        <v>17.82</v>
      </c>
      <c r="G39" s="36">
        <v>17.82</v>
      </c>
      <c r="H39" s="37">
        <v>17.82</v>
      </c>
      <c r="I39" s="37">
        <v>17.82</v>
      </c>
    </row>
    <row r="40" spans="1:10" s="43" customFormat="1" ht="12.75" customHeight="1">
      <c r="A40" s="120" t="s">
        <v>145</v>
      </c>
      <c r="B40" s="143"/>
      <c r="C40" s="143"/>
      <c r="D40" s="144"/>
      <c r="E40" s="40">
        <f>SUM(E17:E39)</f>
        <v>262.33000000000004</v>
      </c>
      <c r="F40" s="41">
        <f>SUM(F17:F39)</f>
        <v>161.45</v>
      </c>
      <c r="G40" s="41">
        <f>SUM(G17:G39)</f>
        <v>40.913</v>
      </c>
      <c r="H40" s="42">
        <f>SUM(H17:H39)</f>
        <v>42.163</v>
      </c>
      <c r="I40" s="42">
        <f>SUM(I17:I39)</f>
        <v>17.82</v>
      </c>
      <c r="J40" s="71"/>
    </row>
    <row r="41" spans="1:9" s="24" customFormat="1" ht="24.75" customHeight="1">
      <c r="A41" s="147" t="s">
        <v>55</v>
      </c>
      <c r="B41" s="148"/>
      <c r="C41" s="148"/>
      <c r="D41" s="149"/>
      <c r="E41" s="39"/>
      <c r="F41" s="36"/>
      <c r="G41" s="36"/>
      <c r="H41" s="37"/>
      <c r="I41" s="37"/>
    </row>
    <row r="42" spans="1:9" s="24" customFormat="1" ht="12.75">
      <c r="A42" s="53" t="s">
        <v>7</v>
      </c>
      <c r="B42" s="56" t="s">
        <v>8</v>
      </c>
      <c r="C42" s="20"/>
      <c r="D42" s="18"/>
      <c r="E42" s="32"/>
      <c r="F42" s="36"/>
      <c r="G42" s="36"/>
      <c r="H42" s="37"/>
      <c r="I42" s="37"/>
    </row>
    <row r="43" spans="1:9" s="24" customFormat="1" ht="12.75">
      <c r="A43" s="20" t="s">
        <v>9</v>
      </c>
      <c r="B43" s="20" t="s">
        <v>56</v>
      </c>
      <c r="C43" s="20"/>
      <c r="D43" s="18"/>
      <c r="E43" s="32"/>
      <c r="F43" s="36"/>
      <c r="G43" s="36"/>
      <c r="H43" s="37"/>
      <c r="I43" s="37"/>
    </row>
    <row r="44" spans="1:9" s="24" customFormat="1" ht="29.25" customHeight="1">
      <c r="A44" s="20"/>
      <c r="B44" s="20" t="s">
        <v>57</v>
      </c>
      <c r="C44" s="22" t="s">
        <v>14</v>
      </c>
      <c r="D44" s="18">
        <v>10.9</v>
      </c>
      <c r="E44" s="32">
        <f>D44*1.1</f>
        <v>11.990000000000002</v>
      </c>
      <c r="F44" s="36">
        <f>E44/4</f>
        <v>2.9975000000000005</v>
      </c>
      <c r="G44" s="36">
        <v>3</v>
      </c>
      <c r="H44" s="37">
        <v>3</v>
      </c>
      <c r="I44" s="36">
        <f>E44-9</f>
        <v>2.990000000000002</v>
      </c>
    </row>
    <row r="45" spans="1:9" s="24" customFormat="1" ht="38.25">
      <c r="A45" s="20"/>
      <c r="B45" s="20" t="s">
        <v>58</v>
      </c>
      <c r="C45" s="22" t="s">
        <v>59</v>
      </c>
      <c r="D45" s="18">
        <v>2.8</v>
      </c>
      <c r="E45" s="32">
        <f>D45*0.4</f>
        <v>1.1199999999999999</v>
      </c>
      <c r="F45" s="36">
        <f>E45/4</f>
        <v>0.27999999999999997</v>
      </c>
      <c r="G45" s="36">
        <v>0.28</v>
      </c>
      <c r="H45" s="37">
        <v>0.28</v>
      </c>
      <c r="I45" s="37">
        <v>0.28</v>
      </c>
    </row>
    <row r="46" spans="1:9" s="24" customFormat="1" ht="27" customHeight="1">
      <c r="A46" s="20" t="s">
        <v>12</v>
      </c>
      <c r="B46" s="21" t="s">
        <v>60</v>
      </c>
      <c r="C46" s="22" t="s">
        <v>61</v>
      </c>
      <c r="D46" s="18">
        <v>396</v>
      </c>
      <c r="E46" s="32">
        <f>0.1*D46</f>
        <v>39.6</v>
      </c>
      <c r="F46" s="36">
        <f>E46/4</f>
        <v>9.9</v>
      </c>
      <c r="G46" s="36">
        <v>9.9</v>
      </c>
      <c r="H46" s="37">
        <v>9.9</v>
      </c>
      <c r="I46" s="36">
        <f>E46-F46-G46-H46</f>
        <v>9.900000000000004</v>
      </c>
    </row>
    <row r="47" spans="1:9" s="24" customFormat="1" ht="25.5">
      <c r="A47" s="20" t="s">
        <v>15</v>
      </c>
      <c r="B47" s="21" t="s">
        <v>62</v>
      </c>
      <c r="C47" s="22"/>
      <c r="D47" s="18"/>
      <c r="E47" s="32"/>
      <c r="F47" s="36"/>
      <c r="G47" s="36"/>
      <c r="H47" s="37"/>
      <c r="I47" s="37"/>
    </row>
    <row r="48" spans="1:9" ht="29.25" customHeight="1">
      <c r="A48" s="6"/>
      <c r="B48" s="6" t="s">
        <v>57</v>
      </c>
      <c r="C48" s="7" t="s">
        <v>14</v>
      </c>
      <c r="D48" s="16">
        <v>10.9</v>
      </c>
      <c r="E48" s="32">
        <f>D48*0.9</f>
        <v>9.81</v>
      </c>
      <c r="F48" s="36">
        <f>E48/4</f>
        <v>2.4525</v>
      </c>
      <c r="G48" s="36">
        <v>2.45</v>
      </c>
      <c r="H48" s="37">
        <v>2.45</v>
      </c>
      <c r="I48" s="36">
        <f>E48-F48-G48-H48</f>
        <v>2.4574999999999996</v>
      </c>
    </row>
    <row r="49" spans="1:9" s="24" customFormat="1" ht="25.5">
      <c r="A49" s="20"/>
      <c r="B49" s="20" t="s">
        <v>63</v>
      </c>
      <c r="C49" s="22" t="s">
        <v>136</v>
      </c>
      <c r="D49" s="18">
        <v>70</v>
      </c>
      <c r="E49" s="32">
        <f>D49*0.01</f>
        <v>0.7000000000000001</v>
      </c>
      <c r="F49" s="36"/>
      <c r="G49" s="36"/>
      <c r="H49" s="37">
        <v>0.35</v>
      </c>
      <c r="I49" s="37">
        <v>0.35</v>
      </c>
    </row>
    <row r="50" spans="1:9" s="24" customFormat="1" ht="12.75">
      <c r="A50" s="20"/>
      <c r="B50" s="57" t="s">
        <v>158</v>
      </c>
      <c r="C50" s="22" t="s">
        <v>64</v>
      </c>
      <c r="D50" s="18"/>
      <c r="E50" s="32"/>
      <c r="F50" s="36"/>
      <c r="G50" s="36"/>
      <c r="H50" s="37"/>
      <c r="I50" s="37"/>
    </row>
    <row r="51" spans="1:9" s="24" customFormat="1" ht="12.75">
      <c r="A51" s="20" t="s">
        <v>17</v>
      </c>
      <c r="B51" s="20" t="s">
        <v>65</v>
      </c>
      <c r="C51" s="22" t="s">
        <v>66</v>
      </c>
      <c r="D51" s="18">
        <v>200</v>
      </c>
      <c r="E51" s="32">
        <f>D51*0.025</f>
        <v>5</v>
      </c>
      <c r="F51" s="36">
        <f>E51/4</f>
        <v>1.25</v>
      </c>
      <c r="G51" s="36">
        <v>1.25</v>
      </c>
      <c r="H51" s="37">
        <v>1.25</v>
      </c>
      <c r="I51" s="37">
        <v>1.25</v>
      </c>
    </row>
    <row r="52" spans="1:9" s="24" customFormat="1" ht="12.75">
      <c r="A52" s="20" t="s">
        <v>19</v>
      </c>
      <c r="B52" s="20" t="s">
        <v>67</v>
      </c>
      <c r="C52" s="22" t="s">
        <v>68</v>
      </c>
      <c r="D52" s="18">
        <v>90</v>
      </c>
      <c r="E52" s="32">
        <f>D52*0.04</f>
        <v>3.6</v>
      </c>
      <c r="F52" s="36">
        <f>E52/4</f>
        <v>0.9</v>
      </c>
      <c r="G52" s="36">
        <v>0.9</v>
      </c>
      <c r="H52" s="37">
        <v>0.9</v>
      </c>
      <c r="I52" s="37">
        <v>0.9</v>
      </c>
    </row>
    <row r="53" spans="1:9" s="24" customFormat="1" ht="12.75">
      <c r="A53" s="20" t="s">
        <v>21</v>
      </c>
      <c r="B53" s="20" t="s">
        <v>69</v>
      </c>
      <c r="C53" s="22" t="s">
        <v>87</v>
      </c>
      <c r="D53" s="18">
        <v>350</v>
      </c>
      <c r="E53" s="32">
        <f>D53*0.068</f>
        <v>23.8</v>
      </c>
      <c r="F53" s="36">
        <f>E53/4</f>
        <v>5.95</v>
      </c>
      <c r="G53" s="36">
        <v>5.95</v>
      </c>
      <c r="H53" s="37">
        <v>5.95</v>
      </c>
      <c r="I53" s="36">
        <f>E53-F53-G53-H53</f>
        <v>5.950000000000002</v>
      </c>
    </row>
    <row r="54" spans="1:9" s="24" customFormat="1" ht="38.25">
      <c r="A54" s="46" t="s">
        <v>23</v>
      </c>
      <c r="B54" s="21" t="s">
        <v>71</v>
      </c>
      <c r="C54" s="22" t="s">
        <v>72</v>
      </c>
      <c r="D54" s="18">
        <v>120</v>
      </c>
      <c r="E54" s="32">
        <f>D54*0.05</f>
        <v>6</v>
      </c>
      <c r="F54" s="36">
        <f>E54/4</f>
        <v>1.5</v>
      </c>
      <c r="G54" s="36">
        <v>1.5</v>
      </c>
      <c r="H54" s="37">
        <v>1.5</v>
      </c>
      <c r="I54" s="37">
        <v>1.5</v>
      </c>
    </row>
    <row r="55" spans="1:9" s="24" customFormat="1" ht="12.75">
      <c r="A55" s="20" t="s">
        <v>73</v>
      </c>
      <c r="B55" s="20" t="s">
        <v>74</v>
      </c>
      <c r="C55" s="22" t="s">
        <v>75</v>
      </c>
      <c r="D55" s="18">
        <v>15</v>
      </c>
      <c r="E55" s="32">
        <f>D55*0.1</f>
        <v>1.5</v>
      </c>
      <c r="F55" s="36"/>
      <c r="G55" s="36">
        <v>0.75</v>
      </c>
      <c r="H55" s="37">
        <v>0.75</v>
      </c>
      <c r="I55" s="37"/>
    </row>
    <row r="56" spans="1:9" s="24" customFormat="1" ht="25.5">
      <c r="A56" s="20" t="s">
        <v>26</v>
      </c>
      <c r="B56" s="21" t="s">
        <v>77</v>
      </c>
      <c r="C56" s="22" t="s">
        <v>68</v>
      </c>
      <c r="D56" s="18">
        <v>45</v>
      </c>
      <c r="E56" s="32">
        <f>D56*0.032</f>
        <v>1.44</v>
      </c>
      <c r="F56" s="36">
        <f>E56/4</f>
        <v>0.36</v>
      </c>
      <c r="G56" s="36">
        <v>0.36</v>
      </c>
      <c r="H56" s="37">
        <v>0.36</v>
      </c>
      <c r="I56" s="36">
        <f>E56-F56-G56-H56</f>
        <v>0.3600000000000001</v>
      </c>
    </row>
    <row r="57" spans="1:9" s="24" customFormat="1" ht="24.75" customHeight="1">
      <c r="A57" s="20" t="s">
        <v>28</v>
      </c>
      <c r="B57" s="21" t="s">
        <v>79</v>
      </c>
      <c r="C57" s="22" t="s">
        <v>80</v>
      </c>
      <c r="D57" s="18"/>
      <c r="E57" s="32"/>
      <c r="F57" s="36"/>
      <c r="G57" s="36"/>
      <c r="H57" s="37"/>
      <c r="I57" s="37"/>
    </row>
    <row r="58" spans="1:9" s="24" customFormat="1" ht="12.75">
      <c r="A58" s="20" t="s">
        <v>70</v>
      </c>
      <c r="B58" s="21" t="s">
        <v>82</v>
      </c>
      <c r="C58" s="22" t="s">
        <v>83</v>
      </c>
      <c r="D58" s="18">
        <v>250</v>
      </c>
      <c r="E58" s="32">
        <f>D58*0.02</f>
        <v>5</v>
      </c>
      <c r="F58" s="36">
        <f>E58/4</f>
        <v>1.25</v>
      </c>
      <c r="G58" s="36">
        <v>1.25</v>
      </c>
      <c r="H58" s="37">
        <v>1.25</v>
      </c>
      <c r="I58" s="37">
        <v>1.25</v>
      </c>
    </row>
    <row r="59" spans="1:9" s="24" customFormat="1" ht="12.75">
      <c r="A59" s="20" t="s">
        <v>73</v>
      </c>
      <c r="B59" s="21" t="s">
        <v>154</v>
      </c>
      <c r="C59" s="22" t="s">
        <v>144</v>
      </c>
      <c r="D59" s="18">
        <v>50</v>
      </c>
      <c r="E59" s="32">
        <f>D59*0.128</f>
        <v>6.4</v>
      </c>
      <c r="F59" s="36">
        <f>E59/4</f>
        <v>1.6</v>
      </c>
      <c r="G59" s="36">
        <v>1.6</v>
      </c>
      <c r="H59" s="37">
        <v>1.6</v>
      </c>
      <c r="I59" s="37">
        <v>1.6</v>
      </c>
    </row>
    <row r="60" spans="1:9" s="24" customFormat="1" ht="12.75">
      <c r="A60" s="20" t="s">
        <v>76</v>
      </c>
      <c r="B60" s="21" t="s">
        <v>155</v>
      </c>
      <c r="C60" s="22" t="s">
        <v>144</v>
      </c>
      <c r="D60" s="18">
        <v>30</v>
      </c>
      <c r="E60" s="32">
        <f>D60*0.152</f>
        <v>4.56</v>
      </c>
      <c r="F60" s="36">
        <f>E60/4</f>
        <v>1.14</v>
      </c>
      <c r="G60" s="36">
        <v>1.14</v>
      </c>
      <c r="H60" s="37">
        <v>1.14</v>
      </c>
      <c r="I60" s="37">
        <v>1.14</v>
      </c>
    </row>
    <row r="61" spans="1:9" s="24" customFormat="1" ht="25.5">
      <c r="A61" s="46" t="s">
        <v>78</v>
      </c>
      <c r="B61" s="21" t="s">
        <v>84</v>
      </c>
      <c r="C61" s="22" t="s">
        <v>85</v>
      </c>
      <c r="D61" s="18">
        <v>25</v>
      </c>
      <c r="E61" s="32">
        <f>D61*0.1</f>
        <v>2.5</v>
      </c>
      <c r="F61" s="36">
        <f>E61/4</f>
        <v>0.625</v>
      </c>
      <c r="G61" s="36">
        <v>0.63</v>
      </c>
      <c r="H61" s="37">
        <v>0.63</v>
      </c>
      <c r="I61" s="36">
        <f>E61-F61-G61-H61</f>
        <v>0.6150000000000001</v>
      </c>
    </row>
    <row r="62" spans="1:9" s="24" customFormat="1" ht="12.75">
      <c r="A62" s="46" t="s">
        <v>81</v>
      </c>
      <c r="B62" s="21" t="s">
        <v>86</v>
      </c>
      <c r="C62" s="22" t="s">
        <v>87</v>
      </c>
      <c r="D62" s="18">
        <v>40</v>
      </c>
      <c r="E62" s="32">
        <f>D62*0.03</f>
        <v>1.2</v>
      </c>
      <c r="F62" s="36"/>
      <c r="G62" s="36">
        <v>0.6</v>
      </c>
      <c r="H62" s="37"/>
      <c r="I62" s="37">
        <v>0.6</v>
      </c>
    </row>
    <row r="63" spans="1:9" s="24" customFormat="1" ht="12.75">
      <c r="A63" s="46" t="s">
        <v>156</v>
      </c>
      <c r="B63" s="21" t="s">
        <v>88</v>
      </c>
      <c r="C63" s="22" t="s">
        <v>89</v>
      </c>
      <c r="D63" s="18">
        <v>0</v>
      </c>
      <c r="E63" s="32">
        <f>D63*0.02</f>
        <v>0</v>
      </c>
      <c r="F63" s="36"/>
      <c r="G63" s="36"/>
      <c r="H63" s="37"/>
      <c r="I63" s="37"/>
    </row>
    <row r="64" spans="1:9" s="24" customFormat="1" ht="12.75">
      <c r="A64" s="46" t="s">
        <v>157</v>
      </c>
      <c r="B64" s="37" t="s">
        <v>143</v>
      </c>
      <c r="C64" s="78" t="s">
        <v>144</v>
      </c>
      <c r="D64" s="37">
        <v>150</v>
      </c>
      <c r="E64" s="37">
        <f>D64*0.15</f>
        <v>22.5</v>
      </c>
      <c r="F64" s="37">
        <v>5.6</v>
      </c>
      <c r="G64" s="37">
        <v>5.6</v>
      </c>
      <c r="H64" s="37">
        <v>5.6</v>
      </c>
      <c r="I64" s="37">
        <v>5.6</v>
      </c>
    </row>
    <row r="65" spans="1:9" s="24" customFormat="1" ht="28.5" customHeight="1">
      <c r="A65" s="20" t="s">
        <v>31</v>
      </c>
      <c r="B65" s="137" t="s">
        <v>32</v>
      </c>
      <c r="C65" s="138"/>
      <c r="D65" s="138"/>
      <c r="E65" s="26"/>
      <c r="F65" s="36"/>
      <c r="G65" s="36"/>
      <c r="H65" s="37"/>
      <c r="I65" s="37"/>
    </row>
    <row r="66" spans="1:9" s="24" customFormat="1" ht="25.5">
      <c r="A66" s="20" t="s">
        <v>33</v>
      </c>
      <c r="B66" s="21" t="s">
        <v>90</v>
      </c>
      <c r="C66" s="22" t="s">
        <v>91</v>
      </c>
      <c r="D66" s="18">
        <v>55.5</v>
      </c>
      <c r="E66" s="32">
        <f>D66*0.2+2.5</f>
        <v>13.600000000000001</v>
      </c>
      <c r="F66" s="36"/>
      <c r="G66" s="36">
        <v>13.6</v>
      </c>
      <c r="H66" s="37"/>
      <c r="I66" s="37"/>
    </row>
    <row r="67" spans="1:9" s="24" customFormat="1" ht="27.75" customHeight="1">
      <c r="A67" s="20" t="s">
        <v>39</v>
      </c>
      <c r="B67" s="137" t="s">
        <v>32</v>
      </c>
      <c r="C67" s="138"/>
      <c r="D67" s="138"/>
      <c r="E67" s="26"/>
      <c r="F67" s="36"/>
      <c r="G67" s="36"/>
      <c r="H67" s="37"/>
      <c r="I67" s="37"/>
    </row>
    <row r="68" spans="1:9" s="24" customFormat="1" ht="12.75">
      <c r="A68" s="20" t="s">
        <v>40</v>
      </c>
      <c r="B68" s="21" t="s">
        <v>92</v>
      </c>
      <c r="C68" s="22" t="s">
        <v>93</v>
      </c>
      <c r="D68" s="18">
        <v>15</v>
      </c>
      <c r="E68" s="32">
        <f>D68*0.3</f>
        <v>4.5</v>
      </c>
      <c r="F68" s="36"/>
      <c r="G68" s="36">
        <f>E68/2</f>
        <v>2.25</v>
      </c>
      <c r="H68" s="37">
        <v>2.25</v>
      </c>
      <c r="I68" s="37"/>
    </row>
    <row r="69" spans="1:9" s="24" customFormat="1" ht="12.75">
      <c r="A69" s="20" t="s">
        <v>41</v>
      </c>
      <c r="B69" s="21" t="s">
        <v>94</v>
      </c>
      <c r="C69" s="22" t="s">
        <v>95</v>
      </c>
      <c r="D69" s="18"/>
      <c r="E69" s="32"/>
      <c r="F69" s="36"/>
      <c r="G69" s="36"/>
      <c r="H69" s="37"/>
      <c r="I69" s="37"/>
    </row>
    <row r="70" spans="1:9" s="24" customFormat="1" ht="12.75">
      <c r="A70" s="20" t="s">
        <v>47</v>
      </c>
      <c r="B70" s="21" t="s">
        <v>96</v>
      </c>
      <c r="C70" s="22" t="s">
        <v>97</v>
      </c>
      <c r="D70" s="18">
        <v>987.5</v>
      </c>
      <c r="E70" s="32">
        <v>96.3</v>
      </c>
      <c r="F70" s="36"/>
      <c r="G70" s="36">
        <f>E70/2</f>
        <v>48.15</v>
      </c>
      <c r="H70" s="37">
        <v>48.15</v>
      </c>
      <c r="I70" s="37"/>
    </row>
    <row r="71" spans="1:9" s="24" customFormat="1" ht="25.5">
      <c r="A71" s="20" t="s">
        <v>52</v>
      </c>
      <c r="B71" s="21" t="s">
        <v>98</v>
      </c>
      <c r="C71" s="22" t="s">
        <v>91</v>
      </c>
      <c r="D71" s="18">
        <v>111.2</v>
      </c>
      <c r="E71" s="32">
        <f>D71*0.874</f>
        <v>97.1888</v>
      </c>
      <c r="F71" s="36"/>
      <c r="G71" s="36">
        <f>E71/2</f>
        <v>48.5944</v>
      </c>
      <c r="H71" s="37">
        <v>48.59</v>
      </c>
      <c r="I71" s="37"/>
    </row>
    <row r="72" spans="1:9" s="24" customFormat="1" ht="12.75">
      <c r="A72" s="20" t="s">
        <v>99</v>
      </c>
      <c r="B72" s="21" t="s">
        <v>100</v>
      </c>
      <c r="C72" s="22" t="s">
        <v>101</v>
      </c>
      <c r="D72" s="18">
        <v>250</v>
      </c>
      <c r="E72" s="32">
        <f>D72*0.1</f>
        <v>25</v>
      </c>
      <c r="F72" s="36">
        <f>E72/4</f>
        <v>6.25</v>
      </c>
      <c r="G72" s="36">
        <v>6.25</v>
      </c>
      <c r="H72" s="37">
        <v>6.25</v>
      </c>
      <c r="I72" s="37">
        <v>6.25</v>
      </c>
    </row>
    <row r="73" spans="1:9" s="24" customFormat="1" ht="12.75">
      <c r="A73" s="20" t="s">
        <v>102</v>
      </c>
      <c r="B73" s="21" t="s">
        <v>134</v>
      </c>
      <c r="C73" s="22" t="s">
        <v>130</v>
      </c>
      <c r="D73" s="18">
        <v>25</v>
      </c>
      <c r="E73" s="32">
        <f>D73*0.85</f>
        <v>21.25</v>
      </c>
      <c r="F73" s="36">
        <f>E73/4</f>
        <v>5.3125</v>
      </c>
      <c r="G73" s="36">
        <v>5.31</v>
      </c>
      <c r="H73" s="37">
        <v>5.31</v>
      </c>
      <c r="I73" s="36">
        <f>E73-F73-G73-H73</f>
        <v>5.317500000000002</v>
      </c>
    </row>
    <row r="74" spans="1:10" s="68" customFormat="1" ht="12.75">
      <c r="A74" s="142" t="s">
        <v>146</v>
      </c>
      <c r="B74" s="140"/>
      <c r="C74" s="140"/>
      <c r="D74" s="141"/>
      <c r="E74" s="40">
        <f>SUM(E44:E73)</f>
        <v>404.5588</v>
      </c>
      <c r="F74" s="41">
        <f>SUM(F43:F73)</f>
        <v>47.3675</v>
      </c>
      <c r="G74" s="41">
        <f>SUM(G43:G73)</f>
        <v>161.3144</v>
      </c>
      <c r="H74" s="42">
        <f>SUM(H43:H73)</f>
        <v>147.46</v>
      </c>
      <c r="I74" s="42">
        <f>SUM(I43:I73)+0.13</f>
        <v>48.44000000000001</v>
      </c>
      <c r="J74" s="72"/>
    </row>
    <row r="75" spans="1:9" s="24" customFormat="1" ht="12.75">
      <c r="A75" s="51" t="s">
        <v>104</v>
      </c>
      <c r="B75" s="39"/>
      <c r="C75" s="39"/>
      <c r="D75" s="39"/>
      <c r="E75" s="33"/>
      <c r="F75" s="36"/>
      <c r="G75" s="36"/>
      <c r="H75" s="37"/>
      <c r="I75" s="37"/>
    </row>
    <row r="76" spans="1:9" s="24" customFormat="1" ht="12.75">
      <c r="A76" s="53" t="s">
        <v>7</v>
      </c>
      <c r="B76" s="56" t="s">
        <v>105</v>
      </c>
      <c r="C76" s="22"/>
      <c r="D76" s="18"/>
      <c r="E76" s="32"/>
      <c r="F76" s="36"/>
      <c r="G76" s="36"/>
      <c r="H76" s="37"/>
      <c r="I76" s="37"/>
    </row>
    <row r="77" spans="1:10" s="24" customFormat="1" ht="12.75">
      <c r="A77" s="20" t="s">
        <v>9</v>
      </c>
      <c r="B77" s="20" t="s">
        <v>106</v>
      </c>
      <c r="C77" s="22" t="s">
        <v>107</v>
      </c>
      <c r="D77" s="18">
        <f>5234+13824</f>
        <v>19058</v>
      </c>
      <c r="E77" s="32">
        <v>305.41</v>
      </c>
      <c r="F77" s="36">
        <f>E77/4</f>
        <v>76.3525</v>
      </c>
      <c r="G77" s="36">
        <v>76.35</v>
      </c>
      <c r="H77" s="37">
        <v>76.35</v>
      </c>
      <c r="I77" s="37">
        <v>76.35</v>
      </c>
      <c r="J77" s="23"/>
    </row>
    <row r="78" spans="1:10" s="24" customFormat="1" ht="12.75">
      <c r="A78" s="20" t="s">
        <v>12</v>
      </c>
      <c r="B78" s="21" t="s">
        <v>108</v>
      </c>
      <c r="C78" s="22" t="s">
        <v>109</v>
      </c>
      <c r="D78" s="18"/>
      <c r="E78" s="32"/>
      <c r="F78" s="36"/>
      <c r="G78" s="36"/>
      <c r="H78" s="37"/>
      <c r="I78" s="37"/>
      <c r="J78" s="77"/>
    </row>
    <row r="79" spans="1:9" s="24" customFormat="1" ht="12.75">
      <c r="A79" s="20" t="s">
        <v>15</v>
      </c>
      <c r="B79" s="21" t="s">
        <v>110</v>
      </c>
      <c r="C79" s="22" t="s">
        <v>107</v>
      </c>
      <c r="D79" s="18">
        <v>5200</v>
      </c>
      <c r="E79" s="32">
        <v>50</v>
      </c>
      <c r="F79" s="36"/>
      <c r="G79" s="36">
        <v>25</v>
      </c>
      <c r="H79" s="36">
        <v>25</v>
      </c>
      <c r="I79" s="37"/>
    </row>
    <row r="80" spans="1:9" s="24" customFormat="1" ht="12.75">
      <c r="A80" s="20" t="s">
        <v>31</v>
      </c>
      <c r="B80" s="56" t="s">
        <v>111</v>
      </c>
      <c r="C80" s="22"/>
      <c r="D80" s="18"/>
      <c r="E80" s="32"/>
      <c r="F80" s="36"/>
      <c r="G80" s="36"/>
      <c r="H80" s="37"/>
      <c r="I80" s="37"/>
    </row>
    <row r="81" spans="1:9" s="24" customFormat="1" ht="38.25">
      <c r="A81" s="20"/>
      <c r="B81" s="21" t="s">
        <v>112</v>
      </c>
      <c r="C81" s="22" t="s">
        <v>113</v>
      </c>
      <c r="D81" s="18"/>
      <c r="E81" s="32"/>
      <c r="F81" s="36"/>
      <c r="G81" s="36"/>
      <c r="H81" s="37"/>
      <c r="I81" s="37"/>
    </row>
    <row r="82" spans="1:9" s="24" customFormat="1" ht="38.25">
      <c r="A82" s="20"/>
      <c r="B82" s="21" t="s">
        <v>114</v>
      </c>
      <c r="C82" s="22" t="s">
        <v>113</v>
      </c>
      <c r="D82" s="18"/>
      <c r="E82" s="32">
        <v>89</v>
      </c>
      <c r="F82" s="36">
        <f>E82/4</f>
        <v>22.25</v>
      </c>
      <c r="G82" s="36">
        <v>22.25</v>
      </c>
      <c r="H82" s="37">
        <v>22.25</v>
      </c>
      <c r="I82" s="36">
        <v>22.25</v>
      </c>
    </row>
    <row r="83" spans="1:9" s="68" customFormat="1" ht="12.75">
      <c r="A83" s="139" t="s">
        <v>147</v>
      </c>
      <c r="B83" s="140"/>
      <c r="C83" s="140"/>
      <c r="D83" s="141"/>
      <c r="E83" s="40">
        <f>SUM(E77:E82)</f>
        <v>444.41</v>
      </c>
      <c r="F83" s="41">
        <f>SUM(F77:F82)</f>
        <v>98.6025</v>
      </c>
      <c r="G83" s="41">
        <f>SUM(G77:G82)</f>
        <v>123.6</v>
      </c>
      <c r="H83" s="42">
        <f>SUM(H77:H82)</f>
        <v>123.6</v>
      </c>
      <c r="I83" s="41">
        <f>SUM(I77:I82)</f>
        <v>98.6</v>
      </c>
    </row>
    <row r="84" spans="1:9" s="24" customFormat="1" ht="12.75">
      <c r="A84" s="136" t="s">
        <v>115</v>
      </c>
      <c r="B84" s="136"/>
      <c r="C84" s="136"/>
      <c r="D84" s="136"/>
      <c r="E84" s="34"/>
      <c r="F84" s="36"/>
      <c r="G84" s="36"/>
      <c r="H84" s="37"/>
      <c r="I84" s="37"/>
    </row>
    <row r="85" spans="1:9" s="24" customFormat="1" ht="25.5">
      <c r="A85" s="59">
        <v>1</v>
      </c>
      <c r="B85" s="53" t="s">
        <v>180</v>
      </c>
      <c r="C85" s="60" t="s">
        <v>127</v>
      </c>
      <c r="D85" s="85">
        <v>23104.2</v>
      </c>
      <c r="E85" s="35">
        <f>D85*0.59*12/1000</f>
        <v>163.577736</v>
      </c>
      <c r="F85" s="36">
        <f>E85/4</f>
        <v>40.894434</v>
      </c>
      <c r="G85" s="36">
        <v>40.89</v>
      </c>
      <c r="H85" s="37">
        <v>40.89</v>
      </c>
      <c r="I85" s="37">
        <v>40.89</v>
      </c>
    </row>
    <row r="86" spans="1:9" s="24" customFormat="1" ht="25.5">
      <c r="A86" s="59">
        <v>2</v>
      </c>
      <c r="B86" s="53" t="s">
        <v>116</v>
      </c>
      <c r="C86" s="60" t="s">
        <v>117</v>
      </c>
      <c r="D86" s="85">
        <v>23104.2</v>
      </c>
      <c r="E86" s="31">
        <f>D86*1.4042*2/1000</f>
        <v>64.88583528</v>
      </c>
      <c r="F86" s="36"/>
      <c r="G86" s="36">
        <f>E86/2</f>
        <v>32.44291764</v>
      </c>
      <c r="I86" s="36">
        <f>E86-G86</f>
        <v>32.44291764</v>
      </c>
    </row>
    <row r="87" spans="1:9" s="24" customFormat="1" ht="25.5">
      <c r="A87" s="59">
        <v>3</v>
      </c>
      <c r="B87" s="61" t="s">
        <v>128</v>
      </c>
      <c r="C87" s="60"/>
      <c r="D87" s="85"/>
      <c r="E87" s="35">
        <v>90</v>
      </c>
      <c r="F87" s="36">
        <v>35</v>
      </c>
      <c r="G87" s="36">
        <v>35</v>
      </c>
      <c r="H87" s="37"/>
      <c r="I87" s="36">
        <v>20</v>
      </c>
    </row>
    <row r="88" spans="1:9" s="24" customFormat="1" ht="12.75">
      <c r="A88" s="59">
        <v>4</v>
      </c>
      <c r="B88" s="90" t="s">
        <v>191</v>
      </c>
      <c r="C88" s="80">
        <v>0.149</v>
      </c>
      <c r="D88" s="85"/>
      <c r="E88" s="35">
        <v>221.01016</v>
      </c>
      <c r="F88" s="36">
        <f>E88/4</f>
        <v>55.25254</v>
      </c>
      <c r="G88" s="36">
        <v>55.25</v>
      </c>
      <c r="H88" s="37">
        <v>55.25</v>
      </c>
      <c r="I88" s="36">
        <v>55.25</v>
      </c>
    </row>
    <row r="89" spans="1:10" s="68" customFormat="1" ht="12.75">
      <c r="A89" s="142" t="s">
        <v>149</v>
      </c>
      <c r="B89" s="140"/>
      <c r="C89" s="140"/>
      <c r="D89" s="141"/>
      <c r="E89" s="40">
        <f>SUM(E85:E88)</f>
        <v>539.47373128</v>
      </c>
      <c r="F89" s="41">
        <f>SUM(F85:F88)</f>
        <v>131.146974</v>
      </c>
      <c r="G89" s="41">
        <f>SUM(G85:G88)</f>
        <v>163.58291764</v>
      </c>
      <c r="H89" s="42">
        <f>SUM(H85:H88)</f>
        <v>96.14</v>
      </c>
      <c r="I89" s="41">
        <f>SUM(I85:I88)</f>
        <v>148.58291764</v>
      </c>
      <c r="J89" s="72">
        <f>F89+G89+H89+I89</f>
        <v>539.45280928</v>
      </c>
    </row>
    <row r="90" spans="1:12" s="24" customFormat="1" ht="12.75">
      <c r="A90" s="139" t="s">
        <v>150</v>
      </c>
      <c r="B90" s="140"/>
      <c r="C90" s="140"/>
      <c r="D90" s="141"/>
      <c r="E90" s="40">
        <f>E40+E74+E83+E89</f>
        <v>1650.77253128</v>
      </c>
      <c r="F90" s="41">
        <f>F40+F74+F83+F89</f>
        <v>438.566974</v>
      </c>
      <c r="G90" s="41">
        <f>G40+G74+G83+G89</f>
        <v>489.41031764</v>
      </c>
      <c r="H90" s="41">
        <f>H40+H74+H83+H89</f>
        <v>409.36299999999994</v>
      </c>
      <c r="I90" s="41">
        <f>I40+I74+I83+I89</f>
        <v>313.44291764</v>
      </c>
      <c r="J90" s="93">
        <v>1650.771</v>
      </c>
      <c r="K90" s="73"/>
      <c r="L90" s="23"/>
    </row>
    <row r="91" spans="1:9" s="24" customFormat="1" ht="12.75">
      <c r="A91" s="121" t="s">
        <v>151</v>
      </c>
      <c r="B91" s="122"/>
      <c r="C91" s="122"/>
      <c r="D91" s="122"/>
      <c r="E91" s="123"/>
      <c r="F91" s="36"/>
      <c r="G91" s="36"/>
      <c r="H91" s="37"/>
      <c r="I91" s="37"/>
    </row>
    <row r="92" spans="1:9" s="24" customFormat="1" ht="25.5">
      <c r="A92" s="150">
        <v>1</v>
      </c>
      <c r="B92" s="63" t="s">
        <v>182</v>
      </c>
      <c r="C92" s="94" t="s">
        <v>196</v>
      </c>
      <c r="D92" s="85">
        <v>23104.2</v>
      </c>
      <c r="E92" s="88">
        <f>(D92*2.32/1000*10)+(4100*11*2/1000)</f>
        <v>626.21744</v>
      </c>
      <c r="F92" s="86">
        <f>E92/4</f>
        <v>156.55436</v>
      </c>
      <c r="G92" s="86">
        <v>156.55</v>
      </c>
      <c r="H92" s="87">
        <v>156.55</v>
      </c>
      <c r="I92" s="87">
        <v>156.55</v>
      </c>
    </row>
    <row r="93" spans="1:9" s="24" customFormat="1" ht="12.75">
      <c r="A93" s="151"/>
      <c r="B93" s="62" t="s">
        <v>183</v>
      </c>
      <c r="C93" s="66"/>
      <c r="D93" s="85"/>
      <c r="E93" s="88">
        <v>91.941</v>
      </c>
      <c r="F93" s="86">
        <f>E93/4</f>
        <v>22.98525</v>
      </c>
      <c r="G93" s="86">
        <v>23.01</v>
      </c>
      <c r="H93" s="87">
        <v>23.01</v>
      </c>
      <c r="I93" s="87">
        <v>23.01</v>
      </c>
    </row>
    <row r="94" spans="1:10" s="68" customFormat="1" ht="25.5">
      <c r="A94" s="152"/>
      <c r="B94" s="82" t="s">
        <v>184</v>
      </c>
      <c r="C94" s="81"/>
      <c r="D94" s="91"/>
      <c r="E94" s="89">
        <f>SUM(E92:E93)</f>
        <v>718.15844</v>
      </c>
      <c r="F94" s="41">
        <f>SUM(F92:F93)</f>
        <v>179.53961</v>
      </c>
      <c r="G94" s="41">
        <v>179.54</v>
      </c>
      <c r="H94" s="41">
        <v>179.54</v>
      </c>
      <c r="I94" s="41">
        <v>179.54</v>
      </c>
      <c r="J94" s="72">
        <f>F94+G94+H94+I94</f>
        <v>718.1596099999999</v>
      </c>
    </row>
    <row r="95" spans="1:9" s="24" customFormat="1" ht="25.5">
      <c r="A95" s="150">
        <v>2</v>
      </c>
      <c r="B95" s="62" t="s">
        <v>188</v>
      </c>
      <c r="C95" s="66" t="s">
        <v>107</v>
      </c>
      <c r="D95" s="85">
        <v>23104.2</v>
      </c>
      <c r="E95" s="88">
        <f>D95*12*1.62/1000</f>
        <v>449.14564800000005</v>
      </c>
      <c r="F95" s="86">
        <f>E95/4</f>
        <v>112.28641200000001</v>
      </c>
      <c r="G95" s="86">
        <f>112286.41/1000</f>
        <v>112.28641</v>
      </c>
      <c r="H95" s="86">
        <v>112.29</v>
      </c>
      <c r="I95" s="86">
        <v>112.29</v>
      </c>
    </row>
    <row r="96" spans="1:9" s="24" customFormat="1" ht="12.75">
      <c r="A96" s="151"/>
      <c r="B96" s="62" t="s">
        <v>183</v>
      </c>
      <c r="C96" s="66"/>
      <c r="D96" s="85"/>
      <c r="E96" s="88">
        <f>D95*0.05*12/1000</f>
        <v>13.86252</v>
      </c>
      <c r="F96" s="86">
        <f>E96/4</f>
        <v>3.46563</v>
      </c>
      <c r="G96" s="86">
        <v>3.47</v>
      </c>
      <c r="H96" s="86">
        <v>3.47</v>
      </c>
      <c r="I96" s="86">
        <v>3.47</v>
      </c>
    </row>
    <row r="97" spans="1:10" s="24" customFormat="1" ht="12.75">
      <c r="A97" s="152"/>
      <c r="B97" s="82" t="s">
        <v>189</v>
      </c>
      <c r="C97" s="81"/>
      <c r="D97" s="85"/>
      <c r="E97" s="89">
        <f>SUM(E95:E96)</f>
        <v>463.00816800000007</v>
      </c>
      <c r="F97" s="41">
        <f>SUM(F95:F96)</f>
        <v>115.75204200000002</v>
      </c>
      <c r="G97" s="41">
        <v>115.75</v>
      </c>
      <c r="H97" s="41">
        <v>115.75</v>
      </c>
      <c r="I97" s="41">
        <v>115.75</v>
      </c>
      <c r="J97" s="72">
        <f>F97+G97+H97+I97</f>
        <v>463.002042</v>
      </c>
    </row>
    <row r="98" spans="1:9" s="24" customFormat="1" ht="25.5">
      <c r="A98" s="150">
        <v>3</v>
      </c>
      <c r="B98" s="62" t="s">
        <v>185</v>
      </c>
      <c r="C98" s="60" t="s">
        <v>107</v>
      </c>
      <c r="D98" s="85">
        <v>23104.2</v>
      </c>
      <c r="E98" s="88">
        <f>D98*0.45/1000*12</f>
        <v>124.76268000000002</v>
      </c>
      <c r="F98" s="86">
        <f>E98/4</f>
        <v>31.190670000000004</v>
      </c>
      <c r="G98" s="86">
        <v>31.19</v>
      </c>
      <c r="H98" s="86">
        <v>31.19</v>
      </c>
      <c r="I98" s="86">
        <v>31.19</v>
      </c>
    </row>
    <row r="99" spans="1:9" s="24" customFormat="1" ht="12.75">
      <c r="A99" s="151"/>
      <c r="B99" s="63" t="s">
        <v>183</v>
      </c>
      <c r="C99" s="60" t="s">
        <v>107</v>
      </c>
      <c r="D99" s="85">
        <v>23104.2</v>
      </c>
      <c r="E99" s="88">
        <v>19.85</v>
      </c>
      <c r="F99" s="86">
        <f>E99/4</f>
        <v>4.9625</v>
      </c>
      <c r="G99" s="86">
        <v>4.96</v>
      </c>
      <c r="H99" s="86">
        <v>4.96</v>
      </c>
      <c r="I99" s="86">
        <v>4.96</v>
      </c>
    </row>
    <row r="100" spans="1:11" s="24" customFormat="1" ht="25.5">
      <c r="A100" s="152"/>
      <c r="B100" s="83" t="s">
        <v>186</v>
      </c>
      <c r="C100" s="84"/>
      <c r="D100" s="85"/>
      <c r="E100" s="88">
        <f>SUM(E98:E99)</f>
        <v>144.61268</v>
      </c>
      <c r="F100" s="86">
        <f>SUM(F98:F99)</f>
        <v>36.15317</v>
      </c>
      <c r="G100" s="86">
        <f>SUM(G98:G99)</f>
        <v>36.15</v>
      </c>
      <c r="H100" s="86">
        <f>SUM(H98:H99)</f>
        <v>36.15</v>
      </c>
      <c r="I100" s="86">
        <f>SUM(I98:I99)</f>
        <v>36.15</v>
      </c>
      <c r="J100" s="23">
        <f>F100+G100+H100+I100</f>
        <v>144.60317</v>
      </c>
      <c r="K100" s="73"/>
    </row>
    <row r="101" spans="1:10" s="24" customFormat="1" ht="12.75" customHeight="1">
      <c r="A101" s="126" t="s">
        <v>152</v>
      </c>
      <c r="B101" s="119"/>
      <c r="C101" s="119"/>
      <c r="D101" s="119"/>
      <c r="E101" s="64">
        <f>E94+E97+E100</f>
        <v>1325.779288</v>
      </c>
      <c r="F101" s="64">
        <f>F94+F97+F100</f>
        <v>331.444822</v>
      </c>
      <c r="G101" s="64">
        <f>G94+G97+G100</f>
        <v>331.43999999999994</v>
      </c>
      <c r="H101" s="64">
        <f>H94+H97+H100</f>
        <v>331.43999999999994</v>
      </c>
      <c r="I101" s="64">
        <f>I94+I97+I100</f>
        <v>331.43999999999994</v>
      </c>
      <c r="J101" s="23">
        <f>F101+G101+H101+I101</f>
        <v>1325.7648219999999</v>
      </c>
    </row>
    <row r="102" spans="1:11" s="24" customFormat="1" ht="18.75" customHeight="1">
      <c r="A102" s="145" t="s">
        <v>153</v>
      </c>
      <c r="B102" s="146"/>
      <c r="C102" s="146"/>
      <c r="D102" s="146"/>
      <c r="E102" s="65">
        <f>E90+E101</f>
        <v>2976.55181928</v>
      </c>
      <c r="F102" s="65">
        <f>F90+F101</f>
        <v>770.011796</v>
      </c>
      <c r="G102" s="65">
        <f>G90+G101</f>
        <v>820.85031764</v>
      </c>
      <c r="H102" s="65">
        <f>H90+H101</f>
        <v>740.8029999999999</v>
      </c>
      <c r="I102" s="65">
        <f>I90+I101</f>
        <v>644.88291764</v>
      </c>
      <c r="J102" s="23">
        <f>F102+G102+H102+I102</f>
        <v>2976.5480312799996</v>
      </c>
      <c r="K102" s="23"/>
    </row>
    <row r="103" spans="1:9" s="24" customFormat="1" ht="12.75">
      <c r="A103" s="124" t="s">
        <v>118</v>
      </c>
      <c r="B103" s="124"/>
      <c r="C103" s="124"/>
      <c r="D103" s="124"/>
      <c r="E103" s="125"/>
      <c r="F103" s="36"/>
      <c r="G103" s="36"/>
      <c r="H103" s="37"/>
      <c r="I103" s="37"/>
    </row>
    <row r="104" spans="1:9" s="24" customFormat="1" ht="12.75">
      <c r="A104" s="53" t="s">
        <v>7</v>
      </c>
      <c r="B104" s="53" t="s">
        <v>119</v>
      </c>
      <c r="C104" s="66" t="s">
        <v>120</v>
      </c>
      <c r="D104" s="52">
        <v>110.691</v>
      </c>
      <c r="E104" s="31"/>
      <c r="F104" s="36"/>
      <c r="G104" s="36"/>
      <c r="H104" s="37"/>
      <c r="I104" s="37"/>
    </row>
    <row r="105" spans="1:9" s="24" customFormat="1" ht="12.75">
      <c r="A105" s="53" t="s">
        <v>31</v>
      </c>
      <c r="B105" s="53" t="s">
        <v>121</v>
      </c>
      <c r="C105" s="66" t="s">
        <v>122</v>
      </c>
      <c r="D105" s="52">
        <f>12+4</f>
        <v>16</v>
      </c>
      <c r="E105" s="31"/>
      <c r="F105" s="36"/>
      <c r="G105" s="36"/>
      <c r="H105" s="37"/>
      <c r="I105" s="37"/>
    </row>
    <row r="106" spans="1:9" ht="12.75">
      <c r="A106" s="5" t="s">
        <v>39</v>
      </c>
      <c r="B106" s="5" t="s">
        <v>123</v>
      </c>
      <c r="C106" s="12" t="s">
        <v>122</v>
      </c>
      <c r="D106" s="15">
        <f>396+160+120+144+153+153+63+40+196+220+60+60+60+80</f>
        <v>1905</v>
      </c>
      <c r="E106" s="31"/>
      <c r="F106" s="36"/>
      <c r="G106" s="36"/>
      <c r="H106" s="37"/>
      <c r="I106" s="37"/>
    </row>
    <row r="107" spans="1:5" ht="12.75">
      <c r="A107" s="3"/>
      <c r="B107" s="3"/>
      <c r="C107" s="3"/>
      <c r="D107" s="14"/>
      <c r="E107" s="25"/>
    </row>
    <row r="108" spans="1:5" ht="12.75">
      <c r="A108" s="3"/>
      <c r="B108" s="92" t="s">
        <v>124</v>
      </c>
      <c r="C108" s="134" t="s">
        <v>176</v>
      </c>
      <c r="D108" s="135"/>
      <c r="E108" s="135"/>
    </row>
    <row r="109" spans="1:5" ht="12.75">
      <c r="A109" s="3"/>
      <c r="B109" s="3"/>
      <c r="C109" s="3"/>
      <c r="D109" s="14"/>
      <c r="E109" s="25"/>
    </row>
    <row r="110" spans="2:3" ht="12.75">
      <c r="B110" t="s">
        <v>194</v>
      </c>
      <c r="C110" t="s">
        <v>195</v>
      </c>
    </row>
  </sheetData>
  <mergeCells count="36">
    <mergeCell ref="G2:I2"/>
    <mergeCell ref="F3:I3"/>
    <mergeCell ref="G4:I4"/>
    <mergeCell ref="G5:I5"/>
    <mergeCell ref="G6:I6"/>
    <mergeCell ref="A8:I8"/>
    <mergeCell ref="A9:I9"/>
    <mergeCell ref="A11:I11"/>
    <mergeCell ref="G13:G14"/>
    <mergeCell ref="H13:H14"/>
    <mergeCell ref="I13:I14"/>
    <mergeCell ref="F13:F14"/>
    <mergeCell ref="A40:D40"/>
    <mergeCell ref="A74:D74"/>
    <mergeCell ref="A83:D83"/>
    <mergeCell ref="A102:D102"/>
    <mergeCell ref="A41:D41"/>
    <mergeCell ref="A92:A94"/>
    <mergeCell ref="A95:A97"/>
    <mergeCell ref="A98:A100"/>
    <mergeCell ref="C108:E108"/>
    <mergeCell ref="A84:D84"/>
    <mergeCell ref="B65:D65"/>
    <mergeCell ref="B67:D67"/>
    <mergeCell ref="A90:D90"/>
    <mergeCell ref="A89:D89"/>
    <mergeCell ref="A91:E91"/>
    <mergeCell ref="A103:E103"/>
    <mergeCell ref="A101:D101"/>
    <mergeCell ref="B26:D26"/>
    <mergeCell ref="B29:D29"/>
    <mergeCell ref="B16:E16"/>
    <mergeCell ref="A13:A14"/>
    <mergeCell ref="B13:B14"/>
    <mergeCell ref="C13:C14"/>
    <mergeCell ref="D13:E13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K111"/>
  <sheetViews>
    <sheetView workbookViewId="0" topLeftCell="A16">
      <selection activeCell="A93" sqref="A93:I102"/>
    </sheetView>
  </sheetViews>
  <sheetFormatPr defaultColWidth="9.00390625" defaultRowHeight="12.75"/>
  <cols>
    <col min="1" max="1" width="4.875" style="24" customWidth="1"/>
    <col min="2" max="2" width="61.75390625" style="24" customWidth="1"/>
    <col min="3" max="3" width="23.00390625" style="24" customWidth="1"/>
    <col min="4" max="16384" width="9.125" style="24" customWidth="1"/>
  </cols>
  <sheetData>
    <row r="1" spans="1:5" ht="12.75">
      <c r="A1"/>
      <c r="B1"/>
      <c r="C1"/>
      <c r="D1"/>
      <c r="E1"/>
    </row>
    <row r="2" spans="2:9" ht="12.75">
      <c r="B2" s="107" t="s">
        <v>207</v>
      </c>
      <c r="E2" s="173" t="s">
        <v>159</v>
      </c>
      <c r="F2" s="173"/>
      <c r="G2" s="173"/>
      <c r="H2" s="173"/>
      <c r="I2" s="173"/>
    </row>
    <row r="3" spans="2:9" ht="12.75">
      <c r="B3" s="24" t="s">
        <v>204</v>
      </c>
      <c r="E3" s="173" t="s">
        <v>192</v>
      </c>
      <c r="F3" s="173"/>
      <c r="G3" s="173"/>
      <c r="H3" s="173"/>
      <c r="I3" s="173"/>
    </row>
    <row r="4" spans="2:9" ht="12.75">
      <c r="B4" s="24" t="s">
        <v>220</v>
      </c>
      <c r="E4" s="173" t="s">
        <v>160</v>
      </c>
      <c r="F4" s="173"/>
      <c r="G4" s="173"/>
      <c r="H4" s="173"/>
      <c r="I4" s="173"/>
    </row>
    <row r="5" spans="5:9" ht="12.75">
      <c r="E5" s="174" t="s">
        <v>193</v>
      </c>
      <c r="F5" s="173"/>
      <c r="G5" s="173"/>
      <c r="H5" s="173"/>
      <c r="I5" s="173"/>
    </row>
    <row r="6" spans="5:9" ht="12.75">
      <c r="E6" s="173"/>
      <c r="F6" s="173"/>
      <c r="G6" s="173"/>
      <c r="H6" s="173"/>
      <c r="I6" s="173"/>
    </row>
    <row r="8" spans="1:9" ht="12.75">
      <c r="A8" s="158" t="s">
        <v>125</v>
      </c>
      <c r="B8" s="158"/>
      <c r="C8" s="158"/>
      <c r="D8" s="158"/>
      <c r="E8" s="158"/>
      <c r="F8" s="158"/>
      <c r="G8" s="158"/>
      <c r="H8" s="158"/>
      <c r="I8" s="158"/>
    </row>
    <row r="9" spans="1:9" ht="12.75">
      <c r="A9" s="159" t="s">
        <v>168</v>
      </c>
      <c r="B9" s="158"/>
      <c r="C9" s="158"/>
      <c r="D9" s="158"/>
      <c r="E9" s="158"/>
      <c r="F9" s="158"/>
      <c r="G9" s="158"/>
      <c r="H9" s="158"/>
      <c r="I9" s="158"/>
    </row>
    <row r="10" spans="1:9" ht="12.75">
      <c r="A10" s="160" t="s">
        <v>179</v>
      </c>
      <c r="B10" s="160"/>
      <c r="C10" s="160"/>
      <c r="D10" s="160"/>
      <c r="E10" s="160"/>
      <c r="F10" s="160"/>
      <c r="G10" s="160"/>
      <c r="H10" s="160"/>
      <c r="I10" s="160"/>
    </row>
    <row r="12" spans="1:9" ht="12.75">
      <c r="A12" s="170" t="s">
        <v>0</v>
      </c>
      <c r="B12" s="170" t="s">
        <v>1</v>
      </c>
      <c r="C12" s="170" t="s">
        <v>2</v>
      </c>
      <c r="D12" s="171" t="s">
        <v>3</v>
      </c>
      <c r="E12" s="172"/>
      <c r="F12" s="153" t="s">
        <v>139</v>
      </c>
      <c r="G12" s="153" t="s">
        <v>140</v>
      </c>
      <c r="H12" s="155" t="s">
        <v>141</v>
      </c>
      <c r="I12" s="155" t="s">
        <v>142</v>
      </c>
    </row>
    <row r="13" spans="1:9" ht="38.25">
      <c r="A13" s="170"/>
      <c r="B13" s="170"/>
      <c r="C13" s="170"/>
      <c r="D13" s="50" t="s">
        <v>4</v>
      </c>
      <c r="E13" s="30" t="s">
        <v>5</v>
      </c>
      <c r="F13" s="154"/>
      <c r="G13" s="154"/>
      <c r="H13" s="156"/>
      <c r="I13" s="156"/>
    </row>
    <row r="14" spans="1:9" ht="12.75">
      <c r="A14" s="51" t="s">
        <v>6</v>
      </c>
      <c r="B14" s="51"/>
      <c r="C14" s="39"/>
      <c r="D14" s="52"/>
      <c r="E14" s="31"/>
      <c r="F14" s="36"/>
      <c r="G14" s="36"/>
      <c r="H14" s="37"/>
      <c r="I14" s="37"/>
    </row>
    <row r="15" spans="1:9" ht="12.75">
      <c r="A15" s="53" t="s">
        <v>7</v>
      </c>
      <c r="B15" s="164" t="s">
        <v>8</v>
      </c>
      <c r="C15" s="164"/>
      <c r="D15" s="164"/>
      <c r="E15" s="165"/>
      <c r="F15" s="36"/>
      <c r="G15" s="36"/>
      <c r="H15" s="37"/>
      <c r="I15" s="37"/>
    </row>
    <row r="16" spans="1:11" ht="12.75">
      <c r="A16" s="20" t="s">
        <v>9</v>
      </c>
      <c r="B16" s="20" t="s">
        <v>10</v>
      </c>
      <c r="C16" s="22" t="s">
        <v>11</v>
      </c>
      <c r="D16" s="18">
        <v>1.2</v>
      </c>
      <c r="E16" s="32">
        <f>D16*0.7</f>
        <v>0.84</v>
      </c>
      <c r="F16" s="36"/>
      <c r="G16" s="36">
        <f>E16/2</f>
        <v>0.42</v>
      </c>
      <c r="H16" s="36">
        <f>E16-G16</f>
        <v>0.42</v>
      </c>
      <c r="I16" s="37"/>
      <c r="J16"/>
      <c r="K16"/>
    </row>
    <row r="17" spans="1:11" ht="12.75" customHeight="1">
      <c r="A17" s="20" t="s">
        <v>12</v>
      </c>
      <c r="B17" s="21" t="s">
        <v>13</v>
      </c>
      <c r="C17" s="22" t="s">
        <v>14</v>
      </c>
      <c r="D17" s="18"/>
      <c r="E17" s="32"/>
      <c r="F17" s="36"/>
      <c r="G17" s="36"/>
      <c r="H17" s="36"/>
      <c r="I17" s="37"/>
      <c r="J17"/>
      <c r="K17"/>
    </row>
    <row r="18" spans="1:9" ht="15" customHeight="1">
      <c r="A18" s="20" t="s">
        <v>15</v>
      </c>
      <c r="B18" s="21" t="s">
        <v>16</v>
      </c>
      <c r="C18" s="22" t="s">
        <v>14</v>
      </c>
      <c r="D18" s="18">
        <f>1.3*2</f>
        <v>2.6</v>
      </c>
      <c r="E18" s="32">
        <f>D18*0.4</f>
        <v>1.04</v>
      </c>
      <c r="F18" s="36"/>
      <c r="G18" s="36">
        <f>E18/2</f>
        <v>0.52</v>
      </c>
      <c r="H18" s="36">
        <f>E18-G18</f>
        <v>0.52</v>
      </c>
      <c r="I18" s="37"/>
    </row>
    <row r="19" spans="1:11" ht="25.5">
      <c r="A19" s="20" t="s">
        <v>17</v>
      </c>
      <c r="B19" s="21" t="s">
        <v>18</v>
      </c>
      <c r="C19" s="22" t="s">
        <v>14</v>
      </c>
      <c r="D19" s="18">
        <f>1.3*2</f>
        <v>2.6</v>
      </c>
      <c r="E19" s="32">
        <f>D19*0.4</f>
        <v>1.04</v>
      </c>
      <c r="F19" s="36"/>
      <c r="G19" s="36">
        <f>E19/2</f>
        <v>0.52</v>
      </c>
      <c r="H19" s="36">
        <f>E19-G19</f>
        <v>0.52</v>
      </c>
      <c r="I19" s="37"/>
      <c r="J19"/>
      <c r="K19"/>
    </row>
    <row r="20" spans="1:11" ht="25.5">
      <c r="A20" s="20" t="s">
        <v>19</v>
      </c>
      <c r="B20" s="21" t="s">
        <v>20</v>
      </c>
      <c r="C20" s="22" t="s">
        <v>14</v>
      </c>
      <c r="D20" s="18">
        <f>1.3*2</f>
        <v>2.6</v>
      </c>
      <c r="E20" s="32">
        <f>D20*0.3</f>
        <v>0.78</v>
      </c>
      <c r="F20" s="36"/>
      <c r="G20" s="36">
        <f>E20/2</f>
        <v>0.39</v>
      </c>
      <c r="H20" s="36">
        <f>E20-G20</f>
        <v>0.39</v>
      </c>
      <c r="I20" s="37"/>
      <c r="J20"/>
      <c r="K20"/>
    </row>
    <row r="21" spans="1:11" ht="12.75">
      <c r="A21" s="20" t="s">
        <v>21</v>
      </c>
      <c r="B21" s="21" t="s">
        <v>22</v>
      </c>
      <c r="C21" s="22" t="s">
        <v>14</v>
      </c>
      <c r="D21" s="18">
        <f>1.3*2</f>
        <v>2.6</v>
      </c>
      <c r="E21" s="32">
        <f>D21*0.4</f>
        <v>1.04</v>
      </c>
      <c r="F21" s="36"/>
      <c r="G21" s="36">
        <f>E21/2</f>
        <v>0.52</v>
      </c>
      <c r="H21" s="36">
        <f>E21-G21</f>
        <v>0.52</v>
      </c>
      <c r="I21" s="37"/>
      <c r="J21"/>
      <c r="K21"/>
    </row>
    <row r="22" spans="1:11" ht="12.75">
      <c r="A22" s="20" t="s">
        <v>23</v>
      </c>
      <c r="B22" s="20" t="s">
        <v>24</v>
      </c>
      <c r="C22" s="22" t="s">
        <v>25</v>
      </c>
      <c r="D22" s="18"/>
      <c r="E22" s="32"/>
      <c r="F22" s="36"/>
      <c r="G22" s="36"/>
      <c r="H22" s="37"/>
      <c r="I22" s="37"/>
      <c r="J22"/>
      <c r="K22"/>
    </row>
    <row r="23" spans="1:11" ht="25.5">
      <c r="A23" s="20" t="s">
        <v>26</v>
      </c>
      <c r="B23" s="21" t="s">
        <v>27</v>
      </c>
      <c r="C23" s="22" t="s">
        <v>25</v>
      </c>
      <c r="D23" s="18"/>
      <c r="E23" s="32"/>
      <c r="F23" s="36"/>
      <c r="G23" s="36"/>
      <c r="H23" s="37"/>
      <c r="I23" s="37"/>
      <c r="J23"/>
      <c r="K23"/>
    </row>
    <row r="24" spans="1:11" ht="25.5">
      <c r="A24" s="20" t="s">
        <v>28</v>
      </c>
      <c r="B24" s="21" t="s">
        <v>29</v>
      </c>
      <c r="C24" s="22" t="s">
        <v>30</v>
      </c>
      <c r="D24" s="18"/>
      <c r="E24" s="32"/>
      <c r="F24" s="36"/>
      <c r="G24" s="36"/>
      <c r="H24" s="37"/>
      <c r="I24" s="37"/>
      <c r="J24"/>
      <c r="K24"/>
    </row>
    <row r="25" spans="1:11" ht="12.75">
      <c r="A25" s="20" t="s">
        <v>31</v>
      </c>
      <c r="B25" s="181" t="s">
        <v>221</v>
      </c>
      <c r="C25" s="138"/>
      <c r="D25" s="138"/>
      <c r="E25" s="182"/>
      <c r="F25" s="36"/>
      <c r="G25" s="36"/>
      <c r="H25" s="37"/>
      <c r="I25" s="37"/>
      <c r="J25"/>
      <c r="K25"/>
    </row>
    <row r="26" spans="1:11" ht="12.75">
      <c r="A26" s="20" t="s">
        <v>33</v>
      </c>
      <c r="B26" s="21" t="s">
        <v>34</v>
      </c>
      <c r="C26" s="54" t="s">
        <v>35</v>
      </c>
      <c r="D26" s="18"/>
      <c r="E26" s="32"/>
      <c r="F26" s="36"/>
      <c r="G26" s="36"/>
      <c r="H26" s="37"/>
      <c r="I26" s="37"/>
      <c r="J26"/>
      <c r="K26"/>
    </row>
    <row r="27" spans="1:11" ht="12.75">
      <c r="A27" s="20" t="s">
        <v>36</v>
      </c>
      <c r="B27" s="20" t="s">
        <v>37</v>
      </c>
      <c r="C27" s="54" t="s">
        <v>38</v>
      </c>
      <c r="D27" s="18"/>
      <c r="E27" s="32"/>
      <c r="F27" s="36"/>
      <c r="G27" s="36"/>
      <c r="H27" s="37"/>
      <c r="I27" s="37"/>
      <c r="J27"/>
      <c r="K27"/>
    </row>
    <row r="28" spans="1:11" ht="12.75">
      <c r="A28" s="20" t="s">
        <v>39</v>
      </c>
      <c r="B28" s="137" t="s">
        <v>32</v>
      </c>
      <c r="C28" s="138"/>
      <c r="D28" s="138"/>
      <c r="E28" s="26"/>
      <c r="F28" s="36"/>
      <c r="G28" s="36"/>
      <c r="H28" s="37"/>
      <c r="I28" s="37"/>
      <c r="J28"/>
      <c r="K28"/>
    </row>
    <row r="29" spans="1:11" ht="12.75">
      <c r="A29" s="20" t="s">
        <v>40</v>
      </c>
      <c r="B29" s="46" t="s">
        <v>138</v>
      </c>
      <c r="C29" s="54" t="s">
        <v>38</v>
      </c>
      <c r="D29" s="18">
        <v>0</v>
      </c>
      <c r="E29" s="32">
        <f>D29*0.1</f>
        <v>0</v>
      </c>
      <c r="F29" s="36"/>
      <c r="G29" s="36"/>
      <c r="H29" s="37"/>
      <c r="I29" s="37"/>
      <c r="J29"/>
      <c r="K29"/>
    </row>
    <row r="30" spans="1:11" ht="12.75">
      <c r="A30" s="20" t="s">
        <v>41</v>
      </c>
      <c r="B30" s="20" t="s">
        <v>42</v>
      </c>
      <c r="C30" s="54"/>
      <c r="D30" s="18"/>
      <c r="E30" s="32"/>
      <c r="F30" s="36"/>
      <c r="G30" s="36"/>
      <c r="H30" s="37"/>
      <c r="I30" s="37"/>
      <c r="J30"/>
      <c r="K30"/>
    </row>
    <row r="31" spans="1:11" ht="12.75">
      <c r="A31" s="20"/>
      <c r="B31" s="20" t="s">
        <v>43</v>
      </c>
      <c r="C31" s="54" t="s">
        <v>44</v>
      </c>
      <c r="D31" s="18">
        <v>0</v>
      </c>
      <c r="E31" s="32">
        <f>D31*0.05</f>
        <v>0</v>
      </c>
      <c r="F31" s="36"/>
      <c r="G31" s="36"/>
      <c r="H31" s="37"/>
      <c r="I31" s="37"/>
      <c r="J31"/>
      <c r="K31"/>
    </row>
    <row r="32" spans="1:11" ht="12.75">
      <c r="A32" s="20"/>
      <c r="B32" s="20" t="s">
        <v>45</v>
      </c>
      <c r="C32" s="54" t="s">
        <v>46</v>
      </c>
      <c r="D32" s="18"/>
      <c r="E32" s="32"/>
      <c r="F32" s="36"/>
      <c r="G32" s="36"/>
      <c r="H32" s="37"/>
      <c r="I32" s="37"/>
      <c r="J32"/>
      <c r="K32"/>
    </row>
    <row r="33" spans="1:11" ht="12.75">
      <c r="A33" s="20" t="s">
        <v>47</v>
      </c>
      <c r="B33" s="20" t="s">
        <v>48</v>
      </c>
      <c r="C33" s="54"/>
      <c r="D33" s="18"/>
      <c r="E33" s="32"/>
      <c r="F33" s="36"/>
      <c r="G33" s="36"/>
      <c r="H33" s="37"/>
      <c r="I33" s="37"/>
      <c r="J33"/>
      <c r="K33"/>
    </row>
    <row r="34" spans="1:11" ht="12.75">
      <c r="A34" s="20"/>
      <c r="B34" s="20" t="s">
        <v>49</v>
      </c>
      <c r="C34" s="54" t="s">
        <v>50</v>
      </c>
      <c r="D34" s="18"/>
      <c r="E34" s="32"/>
      <c r="F34" s="36"/>
      <c r="G34" s="36"/>
      <c r="H34" s="37"/>
      <c r="I34" s="37"/>
      <c r="J34"/>
      <c r="K34"/>
    </row>
    <row r="35" spans="1:11" ht="12.75">
      <c r="A35" s="20"/>
      <c r="B35" s="20" t="s">
        <v>51</v>
      </c>
      <c r="C35" s="54" t="s">
        <v>50</v>
      </c>
      <c r="D35" s="18"/>
      <c r="E35" s="32"/>
      <c r="F35" s="36"/>
      <c r="G35" s="36"/>
      <c r="H35" s="37"/>
      <c r="I35" s="37"/>
      <c r="J35"/>
      <c r="K35"/>
    </row>
    <row r="36" spans="1:11" ht="12.75">
      <c r="A36" s="20" t="s">
        <v>52</v>
      </c>
      <c r="B36" s="20" t="s">
        <v>53</v>
      </c>
      <c r="C36" s="54" t="s">
        <v>54</v>
      </c>
      <c r="D36" s="18">
        <v>0</v>
      </c>
      <c r="E36" s="32">
        <f>D36*0.0134</f>
        <v>0</v>
      </c>
      <c r="F36" s="36"/>
      <c r="G36" s="36"/>
      <c r="H36" s="37"/>
      <c r="I36" s="37"/>
      <c r="J36"/>
      <c r="K36"/>
    </row>
    <row r="37" spans="1:11" ht="12.75">
      <c r="A37" s="20" t="s">
        <v>99</v>
      </c>
      <c r="B37" s="20" t="s">
        <v>129</v>
      </c>
      <c r="C37" s="54" t="s">
        <v>130</v>
      </c>
      <c r="D37" s="18">
        <v>0</v>
      </c>
      <c r="E37" s="32">
        <f>D37*0.7</f>
        <v>0</v>
      </c>
      <c r="F37" s="36"/>
      <c r="G37" s="36"/>
      <c r="H37" s="37"/>
      <c r="I37" s="37"/>
      <c r="J37"/>
      <c r="K37"/>
    </row>
    <row r="38" spans="1:11" ht="12.75">
      <c r="A38" s="20" t="s">
        <v>102</v>
      </c>
      <c r="B38" s="20" t="s">
        <v>131</v>
      </c>
      <c r="C38" s="54" t="s">
        <v>132</v>
      </c>
      <c r="D38" s="18">
        <v>0</v>
      </c>
      <c r="E38" s="32">
        <v>0</v>
      </c>
      <c r="F38" s="36"/>
      <c r="G38" s="36"/>
      <c r="H38" s="37"/>
      <c r="I38" s="37"/>
      <c r="J38"/>
      <c r="K38"/>
    </row>
    <row r="39" spans="1:11" ht="12.75">
      <c r="A39" s="55" t="s">
        <v>103</v>
      </c>
      <c r="B39" s="21" t="s">
        <v>133</v>
      </c>
      <c r="C39" s="22" t="s">
        <v>61</v>
      </c>
      <c r="D39" s="18">
        <v>0</v>
      </c>
      <c r="E39" s="32">
        <v>0</v>
      </c>
      <c r="F39" s="36"/>
      <c r="G39" s="36"/>
      <c r="H39" s="37"/>
      <c r="I39" s="37"/>
      <c r="J39"/>
      <c r="K39"/>
    </row>
    <row r="40" spans="1:11" ht="12.75">
      <c r="A40" s="142" t="s">
        <v>145</v>
      </c>
      <c r="B40" s="140"/>
      <c r="C40" s="140"/>
      <c r="D40" s="141"/>
      <c r="E40" s="40">
        <f>SUM(E16:E39)</f>
        <v>4.74</v>
      </c>
      <c r="F40" s="41">
        <f>SUM(F16:F39)</f>
        <v>0</v>
      </c>
      <c r="G40" s="41">
        <f>SUM(G16:G39)</f>
        <v>2.37</v>
      </c>
      <c r="H40" s="42">
        <f>SUM(H16:H39)</f>
        <v>2.37</v>
      </c>
      <c r="I40" s="42">
        <f>SUM(I16:I39)</f>
        <v>0</v>
      </c>
      <c r="J40" s="71">
        <f>F40+G40+H40+I40</f>
        <v>4.74</v>
      </c>
      <c r="K40" s="43"/>
    </row>
    <row r="41" spans="1:9" ht="12.75">
      <c r="A41" s="147" t="s">
        <v>55</v>
      </c>
      <c r="B41" s="148"/>
      <c r="C41" s="148"/>
      <c r="D41" s="149"/>
      <c r="E41" s="39"/>
      <c r="F41" s="36"/>
      <c r="G41" s="36"/>
      <c r="H41" s="37"/>
      <c r="I41" s="37"/>
    </row>
    <row r="42" spans="1:9" ht="12.75">
      <c r="A42" s="53" t="s">
        <v>7</v>
      </c>
      <c r="B42" s="56" t="s">
        <v>8</v>
      </c>
      <c r="C42" s="20"/>
      <c r="D42" s="18"/>
      <c r="E42" s="32"/>
      <c r="F42" s="36"/>
      <c r="G42" s="36"/>
      <c r="H42" s="37"/>
      <c r="I42" s="37"/>
    </row>
    <row r="43" spans="1:9" ht="12.75">
      <c r="A43" s="20" t="s">
        <v>9</v>
      </c>
      <c r="B43" s="20" t="s">
        <v>56</v>
      </c>
      <c r="C43" s="20"/>
      <c r="D43" s="18"/>
      <c r="E43" s="32"/>
      <c r="F43" s="36"/>
      <c r="G43" s="36"/>
      <c r="H43" s="37"/>
      <c r="I43" s="37"/>
    </row>
    <row r="44" spans="1:9" ht="12.75">
      <c r="A44" s="20"/>
      <c r="B44" s="20" t="s">
        <v>57</v>
      </c>
      <c r="C44" s="22" t="s">
        <v>14</v>
      </c>
      <c r="D44" s="18">
        <v>0</v>
      </c>
      <c r="E44" s="32">
        <f>D44*1.1</f>
        <v>0</v>
      </c>
      <c r="F44" s="36"/>
      <c r="G44" s="36"/>
      <c r="H44" s="37"/>
      <c r="I44" s="36"/>
    </row>
    <row r="45" spans="1:9" ht="25.5">
      <c r="A45" s="20"/>
      <c r="B45" s="20" t="s">
        <v>58</v>
      </c>
      <c r="C45" s="22" t="s">
        <v>59</v>
      </c>
      <c r="D45" s="18">
        <v>0</v>
      </c>
      <c r="E45" s="32">
        <f>D45*0.4</f>
        <v>0</v>
      </c>
      <c r="F45" s="36"/>
      <c r="G45" s="36"/>
      <c r="H45" s="37"/>
      <c r="I45" s="37"/>
    </row>
    <row r="46" spans="1:9" ht="12.75">
      <c r="A46" s="20" t="s">
        <v>12</v>
      </c>
      <c r="B46" s="21" t="s">
        <v>60</v>
      </c>
      <c r="C46" s="22" t="s">
        <v>61</v>
      </c>
      <c r="D46" s="18"/>
      <c r="E46" s="32">
        <f>0.1*D46</f>
        <v>0</v>
      </c>
      <c r="F46" s="36"/>
      <c r="G46" s="36"/>
      <c r="H46" s="37"/>
      <c r="I46" s="36"/>
    </row>
    <row r="47" spans="1:9" ht="25.5">
      <c r="A47" s="20" t="s">
        <v>15</v>
      </c>
      <c r="B47" s="21" t="s">
        <v>62</v>
      </c>
      <c r="C47" s="22"/>
      <c r="D47" s="18"/>
      <c r="E47" s="32"/>
      <c r="F47" s="36"/>
      <c r="G47" s="36"/>
      <c r="H47" s="37"/>
      <c r="I47" s="37"/>
    </row>
    <row r="48" spans="1:11" ht="12.75">
      <c r="A48" s="20"/>
      <c r="B48" s="20" t="s">
        <v>57</v>
      </c>
      <c r="C48" s="22" t="s">
        <v>14</v>
      </c>
      <c r="D48" s="18">
        <v>0</v>
      </c>
      <c r="E48" s="32">
        <f>D48*0.9</f>
        <v>0</v>
      </c>
      <c r="F48" s="36"/>
      <c r="G48" s="36"/>
      <c r="H48" s="37"/>
      <c r="I48" s="36"/>
      <c r="J48"/>
      <c r="K48"/>
    </row>
    <row r="49" spans="1:9" ht="12.75">
      <c r="A49" s="20"/>
      <c r="B49" s="20" t="s">
        <v>63</v>
      </c>
      <c r="C49" s="22" t="s">
        <v>136</v>
      </c>
      <c r="D49" s="18"/>
      <c r="E49" s="32">
        <f>D49*0.01</f>
        <v>0</v>
      </c>
      <c r="F49" s="36"/>
      <c r="G49" s="36"/>
      <c r="H49" s="37"/>
      <c r="I49" s="37"/>
    </row>
    <row r="50" spans="1:9" ht="12.75">
      <c r="A50" s="20"/>
      <c r="B50" s="57" t="s">
        <v>158</v>
      </c>
      <c r="C50" s="22" t="s">
        <v>64</v>
      </c>
      <c r="D50" s="18"/>
      <c r="E50" s="32"/>
      <c r="F50" s="36"/>
      <c r="G50" s="36"/>
      <c r="H50" s="37"/>
      <c r="I50" s="37"/>
    </row>
    <row r="51" spans="1:9" ht="12.75">
      <c r="A51" s="20" t="s">
        <v>17</v>
      </c>
      <c r="B51" s="20" t="s">
        <v>65</v>
      </c>
      <c r="C51" s="22" t="s">
        <v>66</v>
      </c>
      <c r="D51" s="18"/>
      <c r="E51" s="32">
        <f>D51*0.025</f>
        <v>0</v>
      </c>
      <c r="F51" s="36"/>
      <c r="G51" s="36"/>
      <c r="H51" s="37"/>
      <c r="I51" s="36"/>
    </row>
    <row r="52" spans="1:9" ht="12.75">
      <c r="A52" s="20" t="s">
        <v>19</v>
      </c>
      <c r="B52" s="20" t="s">
        <v>67</v>
      </c>
      <c r="C52" s="22" t="s">
        <v>68</v>
      </c>
      <c r="D52" s="18"/>
      <c r="E52" s="32">
        <f>D52*0.04</f>
        <v>0</v>
      </c>
      <c r="F52" s="36"/>
      <c r="G52" s="36"/>
      <c r="H52" s="37"/>
      <c r="I52" s="36"/>
    </row>
    <row r="53" spans="1:9" ht="12.75">
      <c r="A53" s="20" t="s">
        <v>21</v>
      </c>
      <c r="B53" s="20" t="s">
        <v>69</v>
      </c>
      <c r="C53" s="22" t="s">
        <v>87</v>
      </c>
      <c r="D53" s="18">
        <v>0</v>
      </c>
      <c r="E53" s="32">
        <f>D53*0.068</f>
        <v>0</v>
      </c>
      <c r="F53" s="36"/>
      <c r="G53" s="36"/>
      <c r="H53" s="37"/>
      <c r="I53" s="36"/>
    </row>
    <row r="54" spans="1:9" ht="25.5">
      <c r="A54" s="46" t="s">
        <v>23</v>
      </c>
      <c r="B54" s="21" t="s">
        <v>71</v>
      </c>
      <c r="C54" s="22" t="s">
        <v>72</v>
      </c>
      <c r="D54" s="18"/>
      <c r="E54" s="32">
        <f>D54*0.05</f>
        <v>0</v>
      </c>
      <c r="F54" s="36"/>
      <c r="G54" s="36"/>
      <c r="H54" s="37"/>
      <c r="I54" s="36"/>
    </row>
    <row r="55" spans="1:9" ht="12.75">
      <c r="A55" s="20" t="s">
        <v>73</v>
      </c>
      <c r="B55" s="20" t="s">
        <v>74</v>
      </c>
      <c r="C55" s="22" t="s">
        <v>75</v>
      </c>
      <c r="D55" s="18">
        <v>0</v>
      </c>
      <c r="E55" s="32">
        <f>D55*0.1</f>
        <v>0</v>
      </c>
      <c r="F55" s="36"/>
      <c r="G55" s="36"/>
      <c r="H55" s="37"/>
      <c r="I55" s="37"/>
    </row>
    <row r="56" spans="1:9" ht="25.5">
      <c r="A56" s="20" t="s">
        <v>26</v>
      </c>
      <c r="B56" s="21" t="s">
        <v>77</v>
      </c>
      <c r="C56" s="22" t="s">
        <v>68</v>
      </c>
      <c r="D56" s="18"/>
      <c r="E56" s="32">
        <f>D56*0.032</f>
        <v>0</v>
      </c>
      <c r="F56" s="36"/>
      <c r="G56" s="36"/>
      <c r="H56" s="37"/>
      <c r="I56" s="36"/>
    </row>
    <row r="57" spans="1:9" ht="25.5">
      <c r="A57" s="20" t="s">
        <v>28</v>
      </c>
      <c r="B57" s="21" t="s">
        <v>79</v>
      </c>
      <c r="C57" s="22" t="s">
        <v>80</v>
      </c>
      <c r="D57" s="18"/>
      <c r="E57" s="32"/>
      <c r="F57" s="36"/>
      <c r="G57" s="36"/>
      <c r="H57" s="37"/>
      <c r="I57" s="37"/>
    </row>
    <row r="58" spans="1:9" ht="12.75">
      <c r="A58" s="20" t="s">
        <v>70</v>
      </c>
      <c r="B58" s="21" t="s">
        <v>82</v>
      </c>
      <c r="C58" s="22" t="s">
        <v>83</v>
      </c>
      <c r="D58" s="18"/>
      <c r="E58" s="32">
        <f>D58*0.02</f>
        <v>0</v>
      </c>
      <c r="F58" s="36"/>
      <c r="G58" s="36"/>
      <c r="H58" s="37"/>
      <c r="I58" s="37"/>
    </row>
    <row r="59" spans="1:9" ht="12.75">
      <c r="A59" s="20" t="s">
        <v>73</v>
      </c>
      <c r="B59" s="21" t="s">
        <v>154</v>
      </c>
      <c r="C59" s="22" t="s">
        <v>144</v>
      </c>
      <c r="D59" s="18">
        <v>0</v>
      </c>
      <c r="E59" s="32">
        <f>D59*0.128</f>
        <v>0</v>
      </c>
      <c r="F59" s="36"/>
      <c r="G59" s="36"/>
      <c r="H59" s="37"/>
      <c r="I59" s="37"/>
    </row>
    <row r="60" spans="1:9" ht="12.75">
      <c r="A60" s="20" t="s">
        <v>76</v>
      </c>
      <c r="B60" s="21" t="s">
        <v>155</v>
      </c>
      <c r="C60" s="22" t="s">
        <v>144</v>
      </c>
      <c r="D60" s="18">
        <v>0</v>
      </c>
      <c r="E60" s="32">
        <f>D60*0.152</f>
        <v>0</v>
      </c>
      <c r="F60" s="36"/>
      <c r="G60" s="36"/>
      <c r="H60" s="37"/>
      <c r="I60" s="37"/>
    </row>
    <row r="61" spans="1:9" ht="12.75">
      <c r="A61" s="46" t="s">
        <v>78</v>
      </c>
      <c r="B61" s="21" t="s">
        <v>84</v>
      </c>
      <c r="C61" s="22" t="s">
        <v>85</v>
      </c>
      <c r="D61" s="18"/>
      <c r="E61" s="32">
        <f>D61*0.1</f>
        <v>0</v>
      </c>
      <c r="F61" s="36"/>
      <c r="G61" s="36"/>
      <c r="H61" s="37"/>
      <c r="I61" s="36"/>
    </row>
    <row r="62" spans="1:9" ht="12.75">
      <c r="A62" s="46" t="s">
        <v>81</v>
      </c>
      <c r="B62" s="21" t="s">
        <v>86</v>
      </c>
      <c r="C62" s="22" t="s">
        <v>87</v>
      </c>
      <c r="D62" s="18">
        <v>0</v>
      </c>
      <c r="E62" s="32">
        <f>D62*0.03</f>
        <v>0</v>
      </c>
      <c r="F62" s="36"/>
      <c r="G62" s="36"/>
      <c r="H62" s="37"/>
      <c r="I62" s="37"/>
    </row>
    <row r="63" spans="1:9" ht="12.75">
      <c r="A63" s="46" t="s">
        <v>156</v>
      </c>
      <c r="B63" s="21" t="s">
        <v>88</v>
      </c>
      <c r="C63" s="22" t="s">
        <v>89</v>
      </c>
      <c r="D63" s="18">
        <v>0</v>
      </c>
      <c r="E63" s="32">
        <f>D63*0.02</f>
        <v>0</v>
      </c>
      <c r="F63" s="36"/>
      <c r="G63" s="36"/>
      <c r="H63" s="37"/>
      <c r="I63" s="37"/>
    </row>
    <row r="64" spans="1:9" ht="12.75">
      <c r="A64" s="46" t="s">
        <v>157</v>
      </c>
      <c r="B64" s="37" t="s">
        <v>143</v>
      </c>
      <c r="C64" s="37" t="s">
        <v>144</v>
      </c>
      <c r="D64" s="37">
        <v>0</v>
      </c>
      <c r="E64" s="37">
        <f>D64*0.15</f>
        <v>0</v>
      </c>
      <c r="F64" s="36"/>
      <c r="G64" s="36"/>
      <c r="H64" s="36"/>
      <c r="I64" s="36"/>
    </row>
    <row r="65" spans="1:9" ht="12.75">
      <c r="A65" s="20" t="s">
        <v>31</v>
      </c>
      <c r="B65" s="137" t="s">
        <v>32</v>
      </c>
      <c r="C65" s="138"/>
      <c r="D65" s="138"/>
      <c r="E65" s="26"/>
      <c r="F65" s="36"/>
      <c r="G65" s="36"/>
      <c r="H65" s="37"/>
      <c r="I65" s="37"/>
    </row>
    <row r="66" spans="1:9" ht="12.75">
      <c r="A66" s="20" t="s">
        <v>33</v>
      </c>
      <c r="B66" s="21" t="s">
        <v>90</v>
      </c>
      <c r="C66" s="22" t="s">
        <v>91</v>
      </c>
      <c r="D66" s="18">
        <v>0</v>
      </c>
      <c r="E66" s="32">
        <f>D66*0.2</f>
        <v>0</v>
      </c>
      <c r="F66" s="36"/>
      <c r="G66" s="36"/>
      <c r="H66" s="37"/>
      <c r="I66" s="37"/>
    </row>
    <row r="67" spans="1:9" ht="12.75">
      <c r="A67" s="20" t="s">
        <v>39</v>
      </c>
      <c r="B67" s="137" t="s">
        <v>32</v>
      </c>
      <c r="C67" s="138"/>
      <c r="D67" s="138"/>
      <c r="E67" s="26"/>
      <c r="F67" s="36"/>
      <c r="G67" s="36"/>
      <c r="H67" s="37"/>
      <c r="I67" s="37"/>
    </row>
    <row r="68" spans="1:9" ht="12.75">
      <c r="A68" s="20" t="s">
        <v>40</v>
      </c>
      <c r="B68" s="21" t="s">
        <v>92</v>
      </c>
      <c r="C68" s="22" t="s">
        <v>93</v>
      </c>
      <c r="D68" s="18">
        <v>0</v>
      </c>
      <c r="E68" s="32">
        <f>D68*0.3</f>
        <v>0</v>
      </c>
      <c r="F68" s="36"/>
      <c r="G68" s="36"/>
      <c r="H68" s="37"/>
      <c r="I68" s="37"/>
    </row>
    <row r="69" spans="1:9" ht="12.75">
      <c r="A69" s="20" t="s">
        <v>41</v>
      </c>
      <c r="B69" s="21" t="s">
        <v>94</v>
      </c>
      <c r="C69" s="22" t="s">
        <v>95</v>
      </c>
      <c r="D69" s="18"/>
      <c r="E69" s="32"/>
      <c r="F69" s="36"/>
      <c r="G69" s="36"/>
      <c r="H69" s="37"/>
      <c r="I69" s="37"/>
    </row>
    <row r="70" spans="1:9" ht="12.75">
      <c r="A70" s="20" t="s">
        <v>47</v>
      </c>
      <c r="B70" s="21" t="s">
        <v>96</v>
      </c>
      <c r="C70" s="22" t="s">
        <v>97</v>
      </c>
      <c r="D70" s="18">
        <v>148</v>
      </c>
      <c r="E70" s="32">
        <f>D70*0.0976</f>
        <v>14.4448</v>
      </c>
      <c r="F70" s="36"/>
      <c r="G70" s="36">
        <v>14.44</v>
      </c>
      <c r="H70" s="37"/>
      <c r="I70" s="37"/>
    </row>
    <row r="71" spans="1:9" ht="12.75">
      <c r="A71" s="20" t="s">
        <v>52</v>
      </c>
      <c r="B71" s="21" t="s">
        <v>98</v>
      </c>
      <c r="C71" s="22" t="s">
        <v>91</v>
      </c>
      <c r="D71" s="18">
        <v>10.8</v>
      </c>
      <c r="E71" s="32">
        <f>D71*0.874</f>
        <v>9.439200000000001</v>
      </c>
      <c r="F71" s="36"/>
      <c r="G71" s="36">
        <v>9.44</v>
      </c>
      <c r="H71" s="37"/>
      <c r="I71" s="37"/>
    </row>
    <row r="72" spans="1:9" ht="12.75">
      <c r="A72" s="20" t="s">
        <v>99</v>
      </c>
      <c r="B72" s="21" t="s">
        <v>100</v>
      </c>
      <c r="C72" s="22" t="s">
        <v>101</v>
      </c>
      <c r="D72" s="18">
        <v>0</v>
      </c>
      <c r="E72" s="32">
        <f>D72*0.1</f>
        <v>0</v>
      </c>
      <c r="F72" s="36"/>
      <c r="G72" s="36"/>
      <c r="H72" s="37"/>
      <c r="I72" s="37"/>
    </row>
    <row r="73" spans="1:9" ht="12.75">
      <c r="A73" s="20" t="s">
        <v>102</v>
      </c>
      <c r="B73" s="21" t="s">
        <v>134</v>
      </c>
      <c r="C73" s="22" t="s">
        <v>130</v>
      </c>
      <c r="D73" s="18">
        <v>0</v>
      </c>
      <c r="E73" s="32">
        <f>D73*0.85</f>
        <v>0</v>
      </c>
      <c r="F73" s="36"/>
      <c r="G73" s="36"/>
      <c r="H73" s="37"/>
      <c r="I73" s="36"/>
    </row>
    <row r="74" spans="1:9" ht="12.75">
      <c r="A74" s="20" t="s">
        <v>103</v>
      </c>
      <c r="B74" s="57" t="s">
        <v>135</v>
      </c>
      <c r="C74" s="58" t="s">
        <v>130</v>
      </c>
      <c r="D74" s="18">
        <v>0</v>
      </c>
      <c r="E74" s="32">
        <v>0</v>
      </c>
      <c r="F74" s="36"/>
      <c r="G74" s="36"/>
      <c r="H74" s="37"/>
      <c r="I74" s="37"/>
    </row>
    <row r="75" spans="1:11" ht="12.75">
      <c r="A75" s="142" t="s">
        <v>146</v>
      </c>
      <c r="B75" s="140"/>
      <c r="C75" s="140"/>
      <c r="D75" s="141"/>
      <c r="E75" s="40">
        <f>SUM(E44:E74)</f>
        <v>23.884</v>
      </c>
      <c r="F75" s="41">
        <f>SUM(F43:F74)</f>
        <v>0</v>
      </c>
      <c r="G75" s="41">
        <f>SUM(G43:G74)</f>
        <v>23.88</v>
      </c>
      <c r="H75" s="42">
        <f>SUM(H43:H74)</f>
        <v>0</v>
      </c>
      <c r="I75" s="41">
        <f>SUM(I43:I74)</f>
        <v>0</v>
      </c>
      <c r="J75" s="72">
        <f>F75+G75+H75+I75</f>
        <v>23.88</v>
      </c>
      <c r="K75" s="68"/>
    </row>
    <row r="76" spans="1:9" ht="12.75">
      <c r="A76" s="51" t="s">
        <v>104</v>
      </c>
      <c r="B76" s="39"/>
      <c r="C76" s="39"/>
      <c r="D76" s="39"/>
      <c r="E76" s="33"/>
      <c r="F76" s="36"/>
      <c r="G76" s="36"/>
      <c r="H76" s="37"/>
      <c r="I76" s="37"/>
    </row>
    <row r="77" spans="1:9" ht="12.75">
      <c r="A77" s="53" t="s">
        <v>7</v>
      </c>
      <c r="B77" s="56" t="s">
        <v>105</v>
      </c>
      <c r="C77" s="22"/>
      <c r="D77" s="18"/>
      <c r="E77" s="32"/>
      <c r="F77" s="36"/>
      <c r="G77" s="36"/>
      <c r="H77" s="37"/>
      <c r="I77" s="37"/>
    </row>
    <row r="78" spans="1:9" ht="12.75">
      <c r="A78" s="20" t="s">
        <v>9</v>
      </c>
      <c r="B78" s="20" t="s">
        <v>106</v>
      </c>
      <c r="C78" s="22" t="s">
        <v>107</v>
      </c>
      <c r="D78" s="18">
        <f>2013+630</f>
        <v>2643</v>
      </c>
      <c r="E78" s="32">
        <v>38.35</v>
      </c>
      <c r="F78" s="36">
        <f>E78/4</f>
        <v>9.5875</v>
      </c>
      <c r="G78" s="36">
        <v>9.59</v>
      </c>
      <c r="H78" s="37">
        <v>9.59</v>
      </c>
      <c r="I78" s="37">
        <v>9.59</v>
      </c>
    </row>
    <row r="79" spans="1:9" ht="12.75">
      <c r="A79" s="20" t="s">
        <v>12</v>
      </c>
      <c r="B79" s="21" t="s">
        <v>108</v>
      </c>
      <c r="C79" s="22" t="s">
        <v>109</v>
      </c>
      <c r="D79" s="18"/>
      <c r="E79" s="32"/>
      <c r="F79" s="36"/>
      <c r="G79" s="36"/>
      <c r="H79" s="37"/>
      <c r="I79" s="37"/>
    </row>
    <row r="80" spans="1:9" ht="12.75">
      <c r="A80" s="20" t="s">
        <v>15</v>
      </c>
      <c r="B80" s="21" t="s">
        <v>110</v>
      </c>
      <c r="C80" s="22" t="s">
        <v>107</v>
      </c>
      <c r="D80" s="18"/>
      <c r="E80" s="32"/>
      <c r="F80" s="36"/>
      <c r="G80" s="36"/>
      <c r="H80" s="37"/>
      <c r="I80" s="37"/>
    </row>
    <row r="81" spans="1:9" ht="12.75">
      <c r="A81" s="20" t="s">
        <v>31</v>
      </c>
      <c r="B81" s="56" t="s">
        <v>111</v>
      </c>
      <c r="C81" s="22"/>
      <c r="D81" s="18"/>
      <c r="E81" s="32"/>
      <c r="F81" s="36"/>
      <c r="G81" s="36"/>
      <c r="H81" s="37"/>
      <c r="I81" s="37"/>
    </row>
    <row r="82" spans="1:9" ht="25.5">
      <c r="A82" s="20"/>
      <c r="B82" s="21" t="s">
        <v>112</v>
      </c>
      <c r="C82" s="22" t="s">
        <v>113</v>
      </c>
      <c r="D82" s="18"/>
      <c r="E82" s="32"/>
      <c r="F82" s="36"/>
      <c r="G82" s="36"/>
      <c r="H82" s="37"/>
      <c r="I82" s="37"/>
    </row>
    <row r="83" spans="1:9" ht="25.5">
      <c r="A83" s="20"/>
      <c r="B83" s="21" t="s">
        <v>114</v>
      </c>
      <c r="C83" s="22" t="s">
        <v>113</v>
      </c>
      <c r="D83" s="18"/>
      <c r="E83" s="32">
        <v>12</v>
      </c>
      <c r="F83" s="36">
        <v>3</v>
      </c>
      <c r="G83" s="36">
        <v>3</v>
      </c>
      <c r="H83" s="37">
        <v>3</v>
      </c>
      <c r="I83" s="36">
        <v>3</v>
      </c>
    </row>
    <row r="84" spans="1:11" ht="12.75">
      <c r="A84" s="139" t="s">
        <v>147</v>
      </c>
      <c r="B84" s="140"/>
      <c r="C84" s="140"/>
      <c r="D84" s="141"/>
      <c r="E84" s="40">
        <f>SUM(E78:E83)</f>
        <v>50.35</v>
      </c>
      <c r="F84" s="41">
        <f>SUM(F78:F83)</f>
        <v>12.5875</v>
      </c>
      <c r="G84" s="41">
        <f>SUM(G78:G83)</f>
        <v>12.59</v>
      </c>
      <c r="H84" s="42">
        <f>SUM(H78:H83)</f>
        <v>12.59</v>
      </c>
      <c r="I84" s="41">
        <f>SUM(I78:I83)</f>
        <v>12.59</v>
      </c>
      <c r="J84" s="72">
        <f>F84+G84+H84+I84</f>
        <v>50.3575</v>
      </c>
      <c r="K84" s="68"/>
    </row>
    <row r="85" spans="1:9" ht="12.75">
      <c r="A85" s="136" t="s">
        <v>115</v>
      </c>
      <c r="B85" s="136"/>
      <c r="C85" s="136"/>
      <c r="D85" s="136"/>
      <c r="E85" s="34"/>
      <c r="F85" s="36"/>
      <c r="G85" s="36"/>
      <c r="H85" s="37"/>
      <c r="I85" s="37"/>
    </row>
    <row r="86" spans="1:9" ht="12.75">
      <c r="A86" s="59">
        <v>1</v>
      </c>
      <c r="B86" s="53" t="s">
        <v>126</v>
      </c>
      <c r="C86" s="60" t="s">
        <v>127</v>
      </c>
      <c r="D86" s="52">
        <v>2668.1</v>
      </c>
      <c r="E86" s="35">
        <f>D86*0.59*12/1000</f>
        <v>18.890147999999996</v>
      </c>
      <c r="F86" s="36">
        <f>E86/4</f>
        <v>4.722536999999999</v>
      </c>
      <c r="G86" s="36">
        <v>4.72</v>
      </c>
      <c r="H86" s="37">
        <v>4.72</v>
      </c>
      <c r="I86" s="36">
        <f>E86-F86-G86-H86</f>
        <v>4.727610999999999</v>
      </c>
    </row>
    <row r="87" spans="1:9" ht="12.75">
      <c r="A87" s="59">
        <v>2</v>
      </c>
      <c r="B87" s="53" t="s">
        <v>116</v>
      </c>
      <c r="C87" s="60" t="s">
        <v>117</v>
      </c>
      <c r="D87" s="52">
        <v>780</v>
      </c>
      <c r="E87" s="31">
        <f>D87*1.4*2/1000</f>
        <v>2.184</v>
      </c>
      <c r="F87" s="36"/>
      <c r="G87" s="36">
        <f>E87/2</f>
        <v>1.092</v>
      </c>
      <c r="H87" s="37">
        <v>1.09</v>
      </c>
      <c r="I87" s="37"/>
    </row>
    <row r="88" spans="1:9" ht="25.5">
      <c r="A88" s="59">
        <v>3</v>
      </c>
      <c r="B88" s="61" t="s">
        <v>128</v>
      </c>
      <c r="C88" s="60"/>
      <c r="D88" s="52"/>
      <c r="E88" s="35">
        <v>0</v>
      </c>
      <c r="F88" s="36"/>
      <c r="G88" s="36"/>
      <c r="H88" s="37"/>
      <c r="I88" s="36"/>
    </row>
    <row r="89" spans="1:10" ht="12.75">
      <c r="A89" s="59">
        <v>4</v>
      </c>
      <c r="B89" s="63" t="s">
        <v>191</v>
      </c>
      <c r="C89" s="80">
        <v>0.149</v>
      </c>
      <c r="D89" s="52"/>
      <c r="E89" s="31">
        <v>25.522</v>
      </c>
      <c r="F89" s="36">
        <f>E89/4</f>
        <v>6.3805</v>
      </c>
      <c r="G89" s="36">
        <v>6.38</v>
      </c>
      <c r="H89" s="37">
        <v>6.38</v>
      </c>
      <c r="I89" s="36">
        <f>E89-F89-H89-G89</f>
        <v>6.381500000000002</v>
      </c>
      <c r="J89" s="23">
        <f>F91+G91+H91+I91</f>
        <v>125.571648</v>
      </c>
    </row>
    <row r="90" spans="1:11" ht="12.75">
      <c r="A90" s="142" t="s">
        <v>149</v>
      </c>
      <c r="B90" s="140"/>
      <c r="C90" s="140"/>
      <c r="D90" s="141"/>
      <c r="E90" s="40">
        <f>SUM(E86:E89)</f>
        <v>46.596148</v>
      </c>
      <c r="F90" s="41">
        <f>SUM(F86:F89)</f>
        <v>11.103036999999999</v>
      </c>
      <c r="G90" s="41">
        <f>SUM(G86:G89)</f>
        <v>12.192</v>
      </c>
      <c r="H90" s="42">
        <f>SUM(H86:H89)</f>
        <v>12.19</v>
      </c>
      <c r="I90" s="41">
        <f>SUM(I86:I89)</f>
        <v>11.109111</v>
      </c>
      <c r="J90" s="72">
        <f>F90+G90+H90+I90</f>
        <v>46.594148</v>
      </c>
      <c r="K90" s="68"/>
    </row>
    <row r="91" spans="1:11" ht="12.75">
      <c r="A91" s="139" t="s">
        <v>150</v>
      </c>
      <c r="B91" s="140"/>
      <c r="C91" s="140"/>
      <c r="D91" s="141"/>
      <c r="E91" s="40">
        <f>E40+E75+E84+E90</f>
        <v>125.570148</v>
      </c>
      <c r="F91" s="41">
        <f>F40+F75+F84+F90</f>
        <v>23.690537</v>
      </c>
      <c r="G91" s="41">
        <f>G40+G75+G84+G90</f>
        <v>51.032000000000004</v>
      </c>
      <c r="H91" s="41">
        <f>H40+H75+H84+H90</f>
        <v>27.15</v>
      </c>
      <c r="I91" s="41">
        <f>I40+I75+I84+I90</f>
        <v>23.699111000000002</v>
      </c>
      <c r="J91" s="24">
        <v>125.571</v>
      </c>
      <c r="K91" s="23">
        <f>J91-E91</f>
        <v>0.0008519999999947458</v>
      </c>
    </row>
    <row r="92" spans="1:9" ht="12.75">
      <c r="A92" s="121" t="s">
        <v>151</v>
      </c>
      <c r="B92" s="122"/>
      <c r="C92" s="122"/>
      <c r="D92" s="122"/>
      <c r="E92" s="123"/>
      <c r="F92" s="36"/>
      <c r="G92" s="36"/>
      <c r="H92" s="37"/>
      <c r="I92" s="37"/>
    </row>
    <row r="93" spans="1:9" ht="25.5">
      <c r="A93" s="150">
        <v>1</v>
      </c>
      <c r="B93" s="63" t="s">
        <v>182</v>
      </c>
      <c r="C93" s="94" t="s">
        <v>107</v>
      </c>
      <c r="D93" s="52">
        <v>0</v>
      </c>
      <c r="E93" s="104"/>
      <c r="F93" s="97"/>
      <c r="G93" s="97"/>
      <c r="H93" s="97"/>
      <c r="I93" s="97"/>
    </row>
    <row r="94" spans="1:9" ht="12.75">
      <c r="A94" s="151"/>
      <c r="B94" s="62" t="s">
        <v>183</v>
      </c>
      <c r="C94" s="66"/>
      <c r="D94" s="52"/>
      <c r="E94" s="104"/>
      <c r="F94" s="97"/>
      <c r="G94" s="97"/>
      <c r="H94" s="97"/>
      <c r="I94" s="97"/>
    </row>
    <row r="95" spans="1:9" ht="25.5">
      <c r="A95" s="152"/>
      <c r="B95" s="82" t="s">
        <v>184</v>
      </c>
      <c r="C95" s="81"/>
      <c r="D95" s="41"/>
      <c r="E95" s="99"/>
      <c r="F95" s="100"/>
      <c r="G95" s="100"/>
      <c r="H95" s="100"/>
      <c r="I95" s="100"/>
    </row>
    <row r="96" spans="1:9" ht="25.5">
      <c r="A96" s="150">
        <v>2</v>
      </c>
      <c r="B96" s="62" t="s">
        <v>188</v>
      </c>
      <c r="C96" s="66" t="s">
        <v>107</v>
      </c>
      <c r="D96" s="52">
        <v>2668.1</v>
      </c>
      <c r="E96" s="104">
        <f>D96*1.62*12/1000</f>
        <v>51.867864000000004</v>
      </c>
      <c r="F96" s="97">
        <f>E96/4</f>
        <v>12.966966000000001</v>
      </c>
      <c r="G96" s="97">
        <v>13</v>
      </c>
      <c r="H96" s="97">
        <v>13</v>
      </c>
      <c r="I96" s="97">
        <v>13</v>
      </c>
    </row>
    <row r="97" spans="1:9" ht="12.75">
      <c r="A97" s="151"/>
      <c r="B97" s="62" t="s">
        <v>183</v>
      </c>
      <c r="C97" s="66"/>
      <c r="D97" s="52"/>
      <c r="E97" s="104">
        <v>1.6</v>
      </c>
      <c r="F97" s="97">
        <f>E97/4</f>
        <v>0.4</v>
      </c>
      <c r="G97" s="97">
        <v>0.4</v>
      </c>
      <c r="H97" s="97">
        <v>0.4</v>
      </c>
      <c r="I97" s="97">
        <v>0.4</v>
      </c>
    </row>
    <row r="98" spans="1:9" ht="12.75">
      <c r="A98" s="152"/>
      <c r="B98" s="82" t="s">
        <v>189</v>
      </c>
      <c r="C98" s="81"/>
      <c r="D98" s="41"/>
      <c r="E98" s="99">
        <f>SUM(E96:E97)</f>
        <v>53.467864000000006</v>
      </c>
      <c r="F98" s="99">
        <f>SUM(F96:F97)</f>
        <v>13.366966000000001</v>
      </c>
      <c r="G98" s="99">
        <f>SUM(G96:G97)</f>
        <v>13.4</v>
      </c>
      <c r="H98" s="99">
        <f>SUM(H96:H97)</f>
        <v>13.4</v>
      </c>
      <c r="I98" s="99">
        <f>SUM(I96:I97)</f>
        <v>13.4</v>
      </c>
    </row>
    <row r="99" spans="1:9" ht="25.5">
      <c r="A99" s="150">
        <v>3</v>
      </c>
      <c r="B99" s="62" t="s">
        <v>185</v>
      </c>
      <c r="C99" s="60" t="s">
        <v>107</v>
      </c>
      <c r="D99" s="52">
        <v>2668.1</v>
      </c>
      <c r="E99" s="104">
        <f>D99*0.45*12/1000</f>
        <v>14.40774</v>
      </c>
      <c r="F99" s="97">
        <f>E99/4</f>
        <v>3.601935</v>
      </c>
      <c r="G99" s="97">
        <v>3.6</v>
      </c>
      <c r="H99" s="97">
        <v>3.6</v>
      </c>
      <c r="I99" s="97">
        <v>3.6</v>
      </c>
    </row>
    <row r="100" spans="1:9" ht="12.75">
      <c r="A100" s="151"/>
      <c r="B100" s="63" t="s">
        <v>183</v>
      </c>
      <c r="C100" s="60"/>
      <c r="D100" s="52"/>
      <c r="E100" s="104">
        <v>2.3</v>
      </c>
      <c r="F100" s="97">
        <f>E100/4</f>
        <v>0.575</v>
      </c>
      <c r="G100" s="97">
        <v>0.6</v>
      </c>
      <c r="H100" s="97">
        <v>0.6</v>
      </c>
      <c r="I100" s="97">
        <v>0.6</v>
      </c>
    </row>
    <row r="101" spans="1:9" ht="25.5">
      <c r="A101" s="152"/>
      <c r="B101" s="83" t="s">
        <v>186</v>
      </c>
      <c r="C101" s="84"/>
      <c r="D101" s="41"/>
      <c r="E101" s="99">
        <f>SUM(E99:E100)</f>
        <v>16.70774</v>
      </c>
      <c r="F101" s="99">
        <f>SUM(F99:F100)</f>
        <v>4.176935</v>
      </c>
      <c r="G101" s="99">
        <f>SUM(G99:G100)</f>
        <v>4.2</v>
      </c>
      <c r="H101" s="99">
        <f>SUM(H99:H100)</f>
        <v>4.2</v>
      </c>
      <c r="I101" s="100">
        <f>SUM(I99:I100)</f>
        <v>4.2</v>
      </c>
    </row>
    <row r="102" spans="1:9" ht="12.75">
      <c r="A102" s="126" t="s">
        <v>152</v>
      </c>
      <c r="B102" s="119"/>
      <c r="C102" s="119"/>
      <c r="D102" s="119"/>
      <c r="E102" s="105">
        <f>E95+E98+E101</f>
        <v>70.175604</v>
      </c>
      <c r="F102" s="105">
        <f>F95+F98+F101</f>
        <v>17.543901</v>
      </c>
      <c r="G102" s="105">
        <f>G95+G98+G101</f>
        <v>17.6</v>
      </c>
      <c r="H102" s="105">
        <f>H95+H98+H101</f>
        <v>17.6</v>
      </c>
      <c r="I102" s="105">
        <f>I95+I98+I101</f>
        <v>17.6</v>
      </c>
    </row>
    <row r="103" spans="1:10" ht="15.75">
      <c r="A103" s="145" t="s">
        <v>153</v>
      </c>
      <c r="B103" s="146"/>
      <c r="C103" s="146"/>
      <c r="D103" s="146"/>
      <c r="E103" s="65">
        <f>E91+E102</f>
        <v>195.745752</v>
      </c>
      <c r="F103" s="65">
        <f>F91+F102</f>
        <v>41.234438</v>
      </c>
      <c r="G103" s="65">
        <f>G91+G102</f>
        <v>68.632</v>
      </c>
      <c r="H103" s="65">
        <f>H91+H102</f>
        <v>44.75</v>
      </c>
      <c r="I103" s="65">
        <f>I91+I102</f>
        <v>41.299111</v>
      </c>
      <c r="J103" s="23"/>
    </row>
    <row r="104" spans="1:9" ht="12.75">
      <c r="A104" s="124" t="s">
        <v>118</v>
      </c>
      <c r="B104" s="124"/>
      <c r="C104" s="124"/>
      <c r="D104" s="124"/>
      <c r="E104" s="125"/>
      <c r="F104" s="36"/>
      <c r="G104" s="36"/>
      <c r="H104" s="37"/>
      <c r="I104" s="37"/>
    </row>
    <row r="105" spans="1:9" ht="12.75">
      <c r="A105" s="53" t="s">
        <v>7</v>
      </c>
      <c r="B105" s="53" t="s">
        <v>119</v>
      </c>
      <c r="C105" s="66" t="s">
        <v>120</v>
      </c>
      <c r="D105" s="52">
        <v>110.691</v>
      </c>
      <c r="E105" s="31"/>
      <c r="F105" s="36"/>
      <c r="G105" s="36"/>
      <c r="H105" s="37"/>
      <c r="I105" s="37"/>
    </row>
    <row r="106" spans="1:9" ht="12.75">
      <c r="A106" s="53" t="s">
        <v>31</v>
      </c>
      <c r="B106" s="53" t="s">
        <v>121</v>
      </c>
      <c r="C106" s="66" t="s">
        <v>122</v>
      </c>
      <c r="D106" s="52">
        <f>12+4</f>
        <v>16</v>
      </c>
      <c r="E106" s="31"/>
      <c r="F106" s="36"/>
      <c r="G106" s="36"/>
      <c r="H106" s="37"/>
      <c r="I106" s="37"/>
    </row>
    <row r="107" spans="1:11" ht="12.75">
      <c r="A107" s="53" t="s">
        <v>39</v>
      </c>
      <c r="B107" s="53" t="s">
        <v>123</v>
      </c>
      <c r="C107" s="66" t="s">
        <v>122</v>
      </c>
      <c r="D107" s="52">
        <f>396+160+120+144+153+153+63+40+196+220+60+60+60+80</f>
        <v>1905</v>
      </c>
      <c r="E107" s="31"/>
      <c r="F107" s="36"/>
      <c r="G107" s="36"/>
      <c r="H107" s="37"/>
      <c r="I107" s="37"/>
      <c r="J107"/>
      <c r="K107"/>
    </row>
    <row r="108" spans="1:7" ht="12.75">
      <c r="A108" s="67"/>
      <c r="B108" s="67"/>
      <c r="C108" s="67"/>
      <c r="D108" s="25"/>
      <c r="E108" s="25"/>
      <c r="F108" s="23"/>
      <c r="G108" s="23"/>
    </row>
    <row r="109" spans="1:7" ht="12.75">
      <c r="A109" s="67"/>
      <c r="B109" s="67" t="s">
        <v>124</v>
      </c>
      <c r="C109" s="162" t="s">
        <v>176</v>
      </c>
      <c r="D109" s="163"/>
      <c r="E109" s="163"/>
      <c r="F109" s="23"/>
      <c r="G109" s="23"/>
    </row>
    <row r="110" spans="1:7" ht="12.75">
      <c r="A110" s="67"/>
      <c r="B110" s="67"/>
      <c r="C110" s="67"/>
      <c r="D110" s="25"/>
      <c r="E110" s="25"/>
      <c r="F110" s="23"/>
      <c r="G110" s="23"/>
    </row>
    <row r="111" spans="2:7" ht="12.75">
      <c r="B111" s="95" t="s">
        <v>194</v>
      </c>
      <c r="C111" s="24" t="s">
        <v>198</v>
      </c>
      <c r="D111" s="23"/>
      <c r="E111" s="23"/>
      <c r="F111" s="23"/>
      <c r="G111" s="23"/>
    </row>
  </sheetData>
  <mergeCells count="36">
    <mergeCell ref="E6:I6"/>
    <mergeCell ref="A8:I8"/>
    <mergeCell ref="A9:I9"/>
    <mergeCell ref="A10:I10"/>
    <mergeCell ref="E2:I2"/>
    <mergeCell ref="E3:I3"/>
    <mergeCell ref="E4:I4"/>
    <mergeCell ref="E5:I5"/>
    <mergeCell ref="A12:A13"/>
    <mergeCell ref="B12:B13"/>
    <mergeCell ref="C12:C13"/>
    <mergeCell ref="D12:E12"/>
    <mergeCell ref="F12:F13"/>
    <mergeCell ref="G12:G13"/>
    <mergeCell ref="H12:H13"/>
    <mergeCell ref="I12:I13"/>
    <mergeCell ref="B15:E15"/>
    <mergeCell ref="B28:D28"/>
    <mergeCell ref="A40:D40"/>
    <mergeCell ref="B25:E25"/>
    <mergeCell ref="A41:D41"/>
    <mergeCell ref="B65:D65"/>
    <mergeCell ref="B67:D67"/>
    <mergeCell ref="A75:D75"/>
    <mergeCell ref="A84:D84"/>
    <mergeCell ref="A85:D85"/>
    <mergeCell ref="A90:D90"/>
    <mergeCell ref="A91:D91"/>
    <mergeCell ref="A104:E104"/>
    <mergeCell ref="C109:E109"/>
    <mergeCell ref="A92:E92"/>
    <mergeCell ref="A103:D103"/>
    <mergeCell ref="A93:A95"/>
    <mergeCell ref="A96:A98"/>
    <mergeCell ref="A99:A101"/>
    <mergeCell ref="A102:D102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</sheetPr>
  <dimension ref="A1:K113"/>
  <sheetViews>
    <sheetView workbookViewId="0" topLeftCell="A25">
      <selection activeCell="E118" sqref="E118"/>
    </sheetView>
  </sheetViews>
  <sheetFormatPr defaultColWidth="9.00390625" defaultRowHeight="12.75"/>
  <cols>
    <col min="1" max="1" width="6.00390625" style="24" customWidth="1"/>
    <col min="2" max="2" width="67.875" style="24" customWidth="1"/>
    <col min="3" max="3" width="23.375" style="24" customWidth="1"/>
    <col min="4" max="8" width="9.125" style="24" customWidth="1"/>
    <col min="9" max="9" width="9.75390625" style="24" customWidth="1"/>
    <col min="10" max="16384" width="9.125" style="24" customWidth="1"/>
  </cols>
  <sheetData>
    <row r="1" spans="1:5" ht="12.75">
      <c r="A1"/>
      <c r="B1"/>
      <c r="C1"/>
      <c r="D1"/>
      <c r="E1"/>
    </row>
    <row r="2" spans="2:9" ht="12.75">
      <c r="B2" s="107" t="s">
        <v>207</v>
      </c>
      <c r="E2" s="173" t="s">
        <v>159</v>
      </c>
      <c r="F2" s="173"/>
      <c r="G2" s="173"/>
      <c r="H2" s="173"/>
      <c r="I2" s="173"/>
    </row>
    <row r="3" spans="2:9" ht="12.75">
      <c r="B3" s="24" t="s">
        <v>204</v>
      </c>
      <c r="E3" s="173" t="s">
        <v>192</v>
      </c>
      <c r="F3" s="173"/>
      <c r="G3" s="173"/>
      <c r="H3" s="173"/>
      <c r="I3" s="173"/>
    </row>
    <row r="4" spans="2:9" ht="12.75">
      <c r="B4" s="24" t="s">
        <v>211</v>
      </c>
      <c r="E4" s="173" t="s">
        <v>160</v>
      </c>
      <c r="F4" s="173"/>
      <c r="G4" s="173"/>
      <c r="H4" s="173"/>
      <c r="I4" s="173"/>
    </row>
    <row r="5" spans="5:9" ht="12.75">
      <c r="E5" s="111"/>
      <c r="F5" s="111"/>
      <c r="G5" s="111"/>
      <c r="H5" s="111"/>
      <c r="I5" s="111"/>
    </row>
    <row r="6" spans="5:9" ht="12.75">
      <c r="E6" s="111"/>
      <c r="F6" s="111"/>
      <c r="G6" s="111"/>
      <c r="H6" s="111"/>
      <c r="I6" s="111"/>
    </row>
    <row r="7" spans="5:9" ht="12.75">
      <c r="E7" s="111"/>
      <c r="F7" s="111"/>
      <c r="G7" s="111"/>
      <c r="H7" s="111"/>
      <c r="I7" s="111"/>
    </row>
    <row r="9" spans="1:9" ht="12.75">
      <c r="A9" s="158" t="s">
        <v>125</v>
      </c>
      <c r="B9" s="158"/>
      <c r="C9" s="158"/>
      <c r="D9" s="158"/>
      <c r="E9" s="158"/>
      <c r="F9" s="158"/>
      <c r="G9" s="158"/>
      <c r="H9" s="158"/>
      <c r="I9" s="158"/>
    </row>
    <row r="10" spans="1:9" ht="12.75">
      <c r="A10" s="158" t="s">
        <v>169</v>
      </c>
      <c r="B10" s="158"/>
      <c r="C10" s="158"/>
      <c r="D10" s="158"/>
      <c r="E10" s="158"/>
      <c r="F10" s="158"/>
      <c r="G10" s="158"/>
      <c r="H10" s="158"/>
      <c r="I10" s="158"/>
    </row>
    <row r="11" spans="1:9" ht="12.75">
      <c r="A11" s="160" t="s">
        <v>178</v>
      </c>
      <c r="B11" s="160"/>
      <c r="C11" s="160"/>
      <c r="D11" s="160"/>
      <c r="E11" s="160"/>
      <c r="F11" s="160"/>
      <c r="G11" s="160"/>
      <c r="H11" s="160"/>
      <c r="I11" s="160"/>
    </row>
    <row r="12" spans="1:9" ht="12.75">
      <c r="A12" s="110"/>
      <c r="B12" s="110"/>
      <c r="C12" s="110"/>
      <c r="D12" s="110"/>
      <c r="E12" s="110"/>
      <c r="F12" s="110"/>
      <c r="G12" s="110"/>
      <c r="H12" s="110"/>
      <c r="I12" s="110"/>
    </row>
    <row r="13" spans="1:9" ht="12.75">
      <c r="A13" s="110"/>
      <c r="B13" s="110"/>
      <c r="C13" s="110"/>
      <c r="D13" s="110"/>
      <c r="E13" s="110"/>
      <c r="F13" s="110"/>
      <c r="G13" s="110"/>
      <c r="H13" s="110"/>
      <c r="I13" s="110"/>
    </row>
    <row r="15" spans="1:9" ht="12.75">
      <c r="A15" s="183" t="s">
        <v>0</v>
      </c>
      <c r="B15" s="183" t="s">
        <v>1</v>
      </c>
      <c r="C15" s="183" t="s">
        <v>2</v>
      </c>
      <c r="D15" s="184" t="s">
        <v>3</v>
      </c>
      <c r="E15" s="185"/>
      <c r="F15" s="166" t="s">
        <v>139</v>
      </c>
      <c r="G15" s="166" t="s">
        <v>140</v>
      </c>
      <c r="H15" s="168" t="s">
        <v>141</v>
      </c>
      <c r="I15" s="168" t="s">
        <v>142</v>
      </c>
    </row>
    <row r="16" spans="1:9" ht="38.25">
      <c r="A16" s="183"/>
      <c r="B16" s="183"/>
      <c r="C16" s="183"/>
      <c r="D16" s="69" t="s">
        <v>4</v>
      </c>
      <c r="E16" s="30" t="s">
        <v>5</v>
      </c>
      <c r="F16" s="167"/>
      <c r="G16" s="167"/>
      <c r="H16" s="169"/>
      <c r="I16" s="169"/>
    </row>
    <row r="17" spans="1:9" ht="12.75">
      <c r="A17" s="51" t="s">
        <v>6</v>
      </c>
      <c r="B17" s="39"/>
      <c r="C17" s="39"/>
      <c r="D17" s="52"/>
      <c r="E17" s="31"/>
      <c r="F17" s="36"/>
      <c r="G17" s="36"/>
      <c r="H17" s="37"/>
      <c r="I17" s="37"/>
    </row>
    <row r="18" spans="1:9" ht="12.75">
      <c r="A18" s="53" t="s">
        <v>7</v>
      </c>
      <c r="B18" s="164" t="s">
        <v>8</v>
      </c>
      <c r="C18" s="164"/>
      <c r="D18" s="164"/>
      <c r="E18" s="165"/>
      <c r="F18" s="36"/>
      <c r="G18" s="36"/>
      <c r="H18" s="37"/>
      <c r="I18" s="37"/>
    </row>
    <row r="19" spans="1:11" ht="12.75">
      <c r="A19" s="20" t="s">
        <v>9</v>
      </c>
      <c r="B19" s="20" t="s">
        <v>10</v>
      </c>
      <c r="C19" s="22" t="s">
        <v>11</v>
      </c>
      <c r="D19" s="18">
        <v>3</v>
      </c>
      <c r="E19" s="32">
        <f>D19*0.7</f>
        <v>2.0999999999999996</v>
      </c>
      <c r="F19" s="36"/>
      <c r="G19" s="36">
        <f>E19/2</f>
        <v>1.0499999999999998</v>
      </c>
      <c r="H19" s="36">
        <f>E19-G19</f>
        <v>1.0499999999999998</v>
      </c>
      <c r="I19" s="37"/>
      <c r="J19"/>
      <c r="K19"/>
    </row>
    <row r="20" spans="1:11" ht="12.75">
      <c r="A20" s="20" t="s">
        <v>12</v>
      </c>
      <c r="B20" s="21" t="s">
        <v>13</v>
      </c>
      <c r="C20" s="22" t="s">
        <v>14</v>
      </c>
      <c r="D20" s="18"/>
      <c r="E20" s="32"/>
      <c r="F20" s="36"/>
      <c r="G20" s="36"/>
      <c r="H20" s="36"/>
      <c r="I20" s="37"/>
      <c r="J20"/>
      <c r="K20"/>
    </row>
    <row r="21" spans="1:9" ht="12.75">
      <c r="A21" s="20" t="s">
        <v>15</v>
      </c>
      <c r="B21" s="21" t="s">
        <v>16</v>
      </c>
      <c r="C21" s="22" t="s">
        <v>14</v>
      </c>
      <c r="D21" s="18">
        <f>5.57*2</f>
        <v>11.14</v>
      </c>
      <c r="E21" s="32">
        <f>D21*0.4</f>
        <v>4.456</v>
      </c>
      <c r="F21" s="36"/>
      <c r="G21" s="36">
        <f>E21/2</f>
        <v>2.228</v>
      </c>
      <c r="H21" s="36">
        <f>E21-G21</f>
        <v>2.228</v>
      </c>
      <c r="I21" s="37"/>
    </row>
    <row r="22" spans="1:11" ht="12.75">
      <c r="A22" s="20" t="s">
        <v>17</v>
      </c>
      <c r="B22" s="21" t="s">
        <v>18</v>
      </c>
      <c r="C22" s="22" t="s">
        <v>14</v>
      </c>
      <c r="D22" s="18">
        <f>5.57*2</f>
        <v>11.14</v>
      </c>
      <c r="E22" s="32">
        <f>D22*0.4</f>
        <v>4.456</v>
      </c>
      <c r="F22" s="36"/>
      <c r="G22" s="36">
        <f>E22/2</f>
        <v>2.228</v>
      </c>
      <c r="H22" s="36">
        <f>E22-G22</f>
        <v>2.228</v>
      </c>
      <c r="I22" s="37"/>
      <c r="J22"/>
      <c r="K22"/>
    </row>
    <row r="23" spans="1:11" ht="12.75">
      <c r="A23" s="20" t="s">
        <v>19</v>
      </c>
      <c r="B23" s="21" t="s">
        <v>20</v>
      </c>
      <c r="C23" s="22" t="s">
        <v>14</v>
      </c>
      <c r="D23" s="18">
        <f>5.57*2</f>
        <v>11.14</v>
      </c>
      <c r="E23" s="32">
        <f>D23*0.3</f>
        <v>3.342</v>
      </c>
      <c r="F23" s="36"/>
      <c r="G23" s="36">
        <f>E23/2</f>
        <v>1.671</v>
      </c>
      <c r="H23" s="36">
        <f>E23-G23</f>
        <v>1.671</v>
      </c>
      <c r="I23" s="37"/>
      <c r="J23"/>
      <c r="K23"/>
    </row>
    <row r="24" spans="1:11" ht="12.75">
      <c r="A24" s="20" t="s">
        <v>21</v>
      </c>
      <c r="B24" s="21" t="s">
        <v>22</v>
      </c>
      <c r="C24" s="22" t="s">
        <v>14</v>
      </c>
      <c r="D24" s="18">
        <f>5.57*2</f>
        <v>11.14</v>
      </c>
      <c r="E24" s="32">
        <f>D24*0.4</f>
        <v>4.456</v>
      </c>
      <c r="F24" s="36"/>
      <c r="G24" s="36">
        <f>E24/2</f>
        <v>2.228</v>
      </c>
      <c r="H24" s="36">
        <f>E24-G24</f>
        <v>2.228</v>
      </c>
      <c r="I24" s="37"/>
      <c r="J24"/>
      <c r="K24"/>
    </row>
    <row r="25" spans="1:11" ht="12.75">
      <c r="A25" s="20" t="s">
        <v>23</v>
      </c>
      <c r="B25" s="20" t="s">
        <v>24</v>
      </c>
      <c r="C25" s="22" t="s">
        <v>25</v>
      </c>
      <c r="D25" s="18"/>
      <c r="E25" s="32"/>
      <c r="F25" s="36"/>
      <c r="G25" s="36"/>
      <c r="H25" s="37"/>
      <c r="I25" s="37"/>
      <c r="J25"/>
      <c r="K25"/>
    </row>
    <row r="26" spans="1:11" ht="25.5">
      <c r="A26" s="20" t="s">
        <v>26</v>
      </c>
      <c r="B26" s="21" t="s">
        <v>27</v>
      </c>
      <c r="C26" s="22" t="s">
        <v>25</v>
      </c>
      <c r="D26" s="18"/>
      <c r="E26" s="32"/>
      <c r="F26" s="36"/>
      <c r="G26" s="36"/>
      <c r="H26" s="37"/>
      <c r="I26" s="37"/>
      <c r="J26"/>
      <c r="K26"/>
    </row>
    <row r="27" spans="1:11" ht="12.75">
      <c r="A27" s="20" t="s">
        <v>28</v>
      </c>
      <c r="B27" s="21" t="s">
        <v>29</v>
      </c>
      <c r="C27" s="22" t="s">
        <v>30</v>
      </c>
      <c r="D27" s="18"/>
      <c r="E27" s="32"/>
      <c r="F27" s="36"/>
      <c r="G27" s="36"/>
      <c r="H27" s="37"/>
      <c r="I27" s="37"/>
      <c r="J27"/>
      <c r="K27"/>
    </row>
    <row r="28" spans="1:11" ht="12.75">
      <c r="A28" s="20" t="s">
        <v>31</v>
      </c>
      <c r="B28" s="137" t="s">
        <v>32</v>
      </c>
      <c r="C28" s="138"/>
      <c r="D28" s="138"/>
      <c r="E28" s="26"/>
      <c r="F28" s="36"/>
      <c r="G28" s="36"/>
      <c r="H28" s="37"/>
      <c r="I28" s="37"/>
      <c r="J28"/>
      <c r="K28"/>
    </row>
    <row r="29" spans="1:11" ht="12.75">
      <c r="A29" s="20" t="s">
        <v>33</v>
      </c>
      <c r="B29" s="21" t="s">
        <v>34</v>
      </c>
      <c r="C29" s="54" t="s">
        <v>35</v>
      </c>
      <c r="D29" s="18"/>
      <c r="E29" s="32"/>
      <c r="F29" s="36"/>
      <c r="G29" s="36"/>
      <c r="H29" s="37"/>
      <c r="I29" s="37"/>
      <c r="J29"/>
      <c r="K29"/>
    </row>
    <row r="30" spans="1:11" ht="12.75">
      <c r="A30" s="20" t="s">
        <v>36</v>
      </c>
      <c r="B30" s="20" t="s">
        <v>37</v>
      </c>
      <c r="C30" s="54" t="s">
        <v>38</v>
      </c>
      <c r="D30" s="18"/>
      <c r="E30" s="32"/>
      <c r="F30" s="36"/>
      <c r="G30" s="36"/>
      <c r="H30" s="37"/>
      <c r="I30" s="37"/>
      <c r="J30"/>
      <c r="K30"/>
    </row>
    <row r="31" spans="1:11" ht="12.75">
      <c r="A31" s="20" t="s">
        <v>39</v>
      </c>
      <c r="B31" s="137" t="s">
        <v>32</v>
      </c>
      <c r="C31" s="138"/>
      <c r="D31" s="138"/>
      <c r="E31" s="26"/>
      <c r="F31" s="36"/>
      <c r="G31" s="36"/>
      <c r="H31" s="37"/>
      <c r="I31" s="37"/>
      <c r="J31"/>
      <c r="K31"/>
    </row>
    <row r="32" spans="1:11" ht="12.75">
      <c r="A32" s="20" t="s">
        <v>40</v>
      </c>
      <c r="B32" s="46" t="s">
        <v>138</v>
      </c>
      <c r="C32" s="54" t="s">
        <v>38</v>
      </c>
      <c r="D32" s="18">
        <v>5</v>
      </c>
      <c r="E32" s="32">
        <f>D32*0.1</f>
        <v>0.5</v>
      </c>
      <c r="F32" s="36">
        <v>0.25</v>
      </c>
      <c r="G32" s="36"/>
      <c r="H32" s="37"/>
      <c r="I32" s="37">
        <v>0.25</v>
      </c>
      <c r="J32"/>
      <c r="K32"/>
    </row>
    <row r="33" spans="1:11" ht="12.75">
      <c r="A33" s="20" t="s">
        <v>41</v>
      </c>
      <c r="B33" s="20" t="s">
        <v>42</v>
      </c>
      <c r="C33" s="54"/>
      <c r="D33" s="18"/>
      <c r="E33" s="32"/>
      <c r="F33" s="36"/>
      <c r="G33" s="36"/>
      <c r="H33" s="37"/>
      <c r="I33" s="37"/>
      <c r="J33"/>
      <c r="K33"/>
    </row>
    <row r="34" spans="1:11" ht="12.75">
      <c r="A34" s="20"/>
      <c r="B34" s="20" t="s">
        <v>43</v>
      </c>
      <c r="C34" s="54" t="s">
        <v>44</v>
      </c>
      <c r="D34" s="18">
        <v>10</v>
      </c>
      <c r="E34" s="32">
        <f>D34*0.05</f>
        <v>0.5</v>
      </c>
      <c r="F34" s="36">
        <v>0.25</v>
      </c>
      <c r="G34" s="36"/>
      <c r="H34" s="37"/>
      <c r="I34" s="37">
        <v>0.25</v>
      </c>
      <c r="J34"/>
      <c r="K34"/>
    </row>
    <row r="35" spans="1:11" ht="12.75">
      <c r="A35" s="20"/>
      <c r="B35" s="20" t="s">
        <v>45</v>
      </c>
      <c r="C35" s="54" t="s">
        <v>46</v>
      </c>
      <c r="D35" s="18"/>
      <c r="E35" s="32"/>
      <c r="F35" s="36"/>
      <c r="G35" s="36"/>
      <c r="H35" s="37"/>
      <c r="I35" s="37"/>
      <c r="J35"/>
      <c r="K35"/>
    </row>
    <row r="36" spans="1:11" ht="12.75">
      <c r="A36" s="20" t="s">
        <v>47</v>
      </c>
      <c r="B36" s="20" t="s">
        <v>48</v>
      </c>
      <c r="C36" s="54"/>
      <c r="D36" s="18"/>
      <c r="E36" s="32"/>
      <c r="F36" s="36"/>
      <c r="G36" s="36"/>
      <c r="H36" s="37"/>
      <c r="I36" s="37"/>
      <c r="J36"/>
      <c r="K36"/>
    </row>
    <row r="37" spans="1:11" ht="12.75">
      <c r="A37" s="20"/>
      <c r="B37" s="20" t="s">
        <v>49</v>
      </c>
      <c r="C37" s="54" t="s">
        <v>50</v>
      </c>
      <c r="D37" s="18"/>
      <c r="E37" s="32"/>
      <c r="F37" s="36"/>
      <c r="G37" s="36"/>
      <c r="H37" s="37"/>
      <c r="I37" s="37"/>
      <c r="J37"/>
      <c r="K37"/>
    </row>
    <row r="38" spans="1:11" ht="12.75">
      <c r="A38" s="20"/>
      <c r="B38" s="20" t="s">
        <v>51</v>
      </c>
      <c r="C38" s="54" t="s">
        <v>50</v>
      </c>
      <c r="D38" s="18"/>
      <c r="E38" s="32"/>
      <c r="F38" s="36"/>
      <c r="G38" s="36"/>
      <c r="H38" s="37"/>
      <c r="I38" s="37"/>
      <c r="J38"/>
      <c r="K38"/>
    </row>
    <row r="39" spans="1:11" ht="12.75">
      <c r="A39" s="20" t="s">
        <v>52</v>
      </c>
      <c r="B39" s="20" t="s">
        <v>53</v>
      </c>
      <c r="C39" s="54" t="s">
        <v>54</v>
      </c>
      <c r="D39" s="18">
        <v>1500</v>
      </c>
      <c r="E39" s="32">
        <f>D39*0.0134</f>
        <v>20.1</v>
      </c>
      <c r="F39" s="36">
        <v>20.1</v>
      </c>
      <c r="G39" s="36"/>
      <c r="H39" s="37"/>
      <c r="I39" s="37"/>
      <c r="J39"/>
      <c r="K39"/>
    </row>
    <row r="40" spans="1:11" ht="12.75">
      <c r="A40" s="20" t="s">
        <v>99</v>
      </c>
      <c r="B40" s="20" t="s">
        <v>129</v>
      </c>
      <c r="C40" s="54" t="s">
        <v>130</v>
      </c>
      <c r="D40" s="18">
        <v>10</v>
      </c>
      <c r="E40" s="32">
        <f>D40*0.7</f>
        <v>7</v>
      </c>
      <c r="F40" s="36">
        <v>7</v>
      </c>
      <c r="G40" s="36"/>
      <c r="H40" s="37"/>
      <c r="I40" s="37"/>
      <c r="J40"/>
      <c r="K40"/>
    </row>
    <row r="41" spans="1:11" ht="12.75">
      <c r="A41" s="20" t="s">
        <v>102</v>
      </c>
      <c r="B41" s="20" t="s">
        <v>131</v>
      </c>
      <c r="C41" s="54" t="s">
        <v>132</v>
      </c>
      <c r="D41" s="18">
        <v>25</v>
      </c>
      <c r="E41" s="32">
        <f>D41*3</f>
        <v>75</v>
      </c>
      <c r="F41" s="36"/>
      <c r="G41" s="36"/>
      <c r="H41" s="37">
        <f>E41/2</f>
        <v>37.5</v>
      </c>
      <c r="I41" s="37">
        <v>37.5</v>
      </c>
      <c r="J41"/>
      <c r="K41"/>
    </row>
    <row r="42" spans="1:11" ht="12.75">
      <c r="A42" s="55" t="s">
        <v>103</v>
      </c>
      <c r="B42" s="21" t="s">
        <v>133</v>
      </c>
      <c r="C42" s="22" t="s">
        <v>61</v>
      </c>
      <c r="D42" s="18">
        <v>81</v>
      </c>
      <c r="E42" s="32">
        <f>3.645*4</f>
        <v>14.58</v>
      </c>
      <c r="F42" s="36">
        <f>E42/4</f>
        <v>3.645</v>
      </c>
      <c r="G42" s="36">
        <v>3.65</v>
      </c>
      <c r="H42" s="37">
        <v>3.65</v>
      </c>
      <c r="I42" s="36">
        <f>E42-F42-G42-H42</f>
        <v>3.6350000000000002</v>
      </c>
      <c r="J42"/>
      <c r="K42"/>
    </row>
    <row r="43" spans="1:11" ht="12.75">
      <c r="A43" s="142" t="s">
        <v>145</v>
      </c>
      <c r="B43" s="140"/>
      <c r="C43" s="140"/>
      <c r="D43" s="141"/>
      <c r="E43" s="40">
        <f>SUM(E19:E42)</f>
        <v>136.49</v>
      </c>
      <c r="F43" s="41">
        <f>SUM(F19:F42)</f>
        <v>31.245</v>
      </c>
      <c r="G43" s="41">
        <f>SUM(G19:G42)</f>
        <v>13.055000000000001</v>
      </c>
      <c r="H43" s="42">
        <f>SUM(H19:H42)</f>
        <v>50.555</v>
      </c>
      <c r="I43" s="41">
        <f>SUM(I19:I42)</f>
        <v>41.635</v>
      </c>
      <c r="J43" s="71">
        <f>F43+G43+H43+I43</f>
        <v>136.49</v>
      </c>
      <c r="K43" s="43"/>
    </row>
    <row r="44" spans="1:9" ht="12.75">
      <c r="A44" s="147" t="s">
        <v>55</v>
      </c>
      <c r="B44" s="148"/>
      <c r="C44" s="148"/>
      <c r="D44" s="149"/>
      <c r="E44" s="39"/>
      <c r="F44" s="36"/>
      <c r="G44" s="36"/>
      <c r="H44" s="37"/>
      <c r="I44" s="37"/>
    </row>
    <row r="45" spans="1:9" ht="12.75">
      <c r="A45" s="53" t="s">
        <v>7</v>
      </c>
      <c r="B45" s="56" t="s">
        <v>8</v>
      </c>
      <c r="C45" s="20"/>
      <c r="D45" s="18"/>
      <c r="E45" s="32"/>
      <c r="F45" s="36"/>
      <c r="G45" s="36"/>
      <c r="H45" s="37"/>
      <c r="I45" s="37"/>
    </row>
    <row r="46" spans="1:9" ht="12.75">
      <c r="A46" s="20" t="s">
        <v>9</v>
      </c>
      <c r="B46" s="20" t="s">
        <v>56</v>
      </c>
      <c r="C46" s="20"/>
      <c r="D46" s="18"/>
      <c r="E46" s="32"/>
      <c r="F46" s="36"/>
      <c r="G46" s="36"/>
      <c r="H46" s="37"/>
      <c r="I46" s="37"/>
    </row>
    <row r="47" spans="1:9" ht="12.75">
      <c r="A47" s="20"/>
      <c r="B47" s="20" t="s">
        <v>57</v>
      </c>
      <c r="C47" s="22" t="s">
        <v>14</v>
      </c>
      <c r="D47" s="18">
        <v>4.8</v>
      </c>
      <c r="E47" s="32">
        <f>D47*1.1</f>
        <v>5.28</v>
      </c>
      <c r="F47" s="36">
        <f>E47/4</f>
        <v>1.32</v>
      </c>
      <c r="G47" s="36">
        <v>1.32</v>
      </c>
      <c r="H47" s="37">
        <v>1.32</v>
      </c>
      <c r="I47" s="36">
        <f>E47-F47-G47-H47</f>
        <v>1.3199999999999996</v>
      </c>
    </row>
    <row r="48" spans="1:9" ht="25.5">
      <c r="A48" s="20"/>
      <c r="B48" s="20" t="s">
        <v>58</v>
      </c>
      <c r="C48" s="22" t="s">
        <v>59</v>
      </c>
      <c r="D48" s="18">
        <v>1.5</v>
      </c>
      <c r="E48" s="32">
        <f>D48*0.4</f>
        <v>0.6000000000000001</v>
      </c>
      <c r="F48" s="36">
        <f>E48/4</f>
        <v>0.15000000000000002</v>
      </c>
      <c r="G48" s="36">
        <v>0.15</v>
      </c>
      <c r="H48" s="37">
        <v>0.15</v>
      </c>
      <c r="I48" s="36">
        <f aca="true" t="shared" si="0" ref="I48:I67">E48-F48-G48-H48</f>
        <v>0.15000000000000005</v>
      </c>
    </row>
    <row r="49" spans="1:9" ht="12.75">
      <c r="A49" s="20" t="s">
        <v>12</v>
      </c>
      <c r="B49" s="21" t="s">
        <v>60</v>
      </c>
      <c r="C49" s="22" t="s">
        <v>61</v>
      </c>
      <c r="D49" s="18">
        <v>120</v>
      </c>
      <c r="E49" s="32">
        <f>0.1*D49</f>
        <v>12</v>
      </c>
      <c r="F49" s="36">
        <f>E49/4</f>
        <v>3</v>
      </c>
      <c r="G49" s="36">
        <v>3</v>
      </c>
      <c r="H49" s="37">
        <v>3</v>
      </c>
      <c r="I49" s="36">
        <f t="shared" si="0"/>
        <v>3</v>
      </c>
    </row>
    <row r="50" spans="1:9" ht="12.75">
      <c r="A50" s="20" t="s">
        <v>15</v>
      </c>
      <c r="B50" s="21" t="s">
        <v>62</v>
      </c>
      <c r="C50" s="22"/>
      <c r="D50" s="18"/>
      <c r="E50" s="32"/>
      <c r="F50" s="36"/>
      <c r="G50" s="36"/>
      <c r="H50" s="37"/>
      <c r="I50" s="36"/>
    </row>
    <row r="51" spans="1:11" ht="12.75">
      <c r="A51" s="20"/>
      <c r="B51" s="20" t="s">
        <v>57</v>
      </c>
      <c r="C51" s="22" t="s">
        <v>14</v>
      </c>
      <c r="D51" s="18">
        <v>4.8</v>
      </c>
      <c r="E51" s="32">
        <f>D51*0.9</f>
        <v>4.32</v>
      </c>
      <c r="F51" s="36">
        <f aca="true" t="shared" si="1" ref="F51:F67">E51/4</f>
        <v>1.08</v>
      </c>
      <c r="G51" s="36">
        <v>1.08</v>
      </c>
      <c r="H51" s="37">
        <v>1.08</v>
      </c>
      <c r="I51" s="36">
        <f t="shared" si="0"/>
        <v>1.08</v>
      </c>
      <c r="J51"/>
      <c r="K51"/>
    </row>
    <row r="52" spans="1:9" ht="12.75">
      <c r="A52" s="20"/>
      <c r="B52" s="20" t="s">
        <v>63</v>
      </c>
      <c r="C52" s="22" t="s">
        <v>136</v>
      </c>
      <c r="D52" s="18">
        <v>30</v>
      </c>
      <c r="E52" s="32">
        <f>D52*0.01</f>
        <v>0.3</v>
      </c>
      <c r="F52" s="36">
        <f t="shared" si="1"/>
        <v>0.075</v>
      </c>
      <c r="G52" s="36">
        <v>0.08</v>
      </c>
      <c r="H52" s="37">
        <v>0.08</v>
      </c>
      <c r="I52" s="36">
        <f t="shared" si="0"/>
        <v>0.06499999999999996</v>
      </c>
    </row>
    <row r="53" spans="1:9" ht="12.75">
      <c r="A53" s="20"/>
      <c r="B53" s="57" t="s">
        <v>158</v>
      </c>
      <c r="C53" s="22" t="s">
        <v>64</v>
      </c>
      <c r="D53" s="18"/>
      <c r="E53" s="32"/>
      <c r="F53" s="36"/>
      <c r="G53" s="36"/>
      <c r="H53" s="37"/>
      <c r="I53" s="36"/>
    </row>
    <row r="54" spans="1:9" ht="12.75">
      <c r="A54" s="20" t="s">
        <v>17</v>
      </c>
      <c r="B54" s="20" t="s">
        <v>65</v>
      </c>
      <c r="C54" s="22" t="s">
        <v>66</v>
      </c>
      <c r="D54" s="18">
        <v>120</v>
      </c>
      <c r="E54" s="32">
        <f>D54*0.025</f>
        <v>3</v>
      </c>
      <c r="F54" s="36">
        <f t="shared" si="1"/>
        <v>0.75</v>
      </c>
      <c r="G54" s="36">
        <v>0.75</v>
      </c>
      <c r="H54" s="37">
        <v>0.75</v>
      </c>
      <c r="I54" s="36">
        <f t="shared" si="0"/>
        <v>0.75</v>
      </c>
    </row>
    <row r="55" spans="1:9" ht="12.75">
      <c r="A55" s="20" t="s">
        <v>19</v>
      </c>
      <c r="B55" s="20" t="s">
        <v>67</v>
      </c>
      <c r="C55" s="22" t="s">
        <v>68</v>
      </c>
      <c r="D55" s="18">
        <v>50</v>
      </c>
      <c r="E55" s="32">
        <f>D55*0.04</f>
        <v>2</v>
      </c>
      <c r="F55" s="36">
        <f t="shared" si="1"/>
        <v>0.5</v>
      </c>
      <c r="G55" s="36">
        <v>0.5</v>
      </c>
      <c r="H55" s="37">
        <v>0.5</v>
      </c>
      <c r="I55" s="36">
        <f t="shared" si="0"/>
        <v>0.5</v>
      </c>
    </row>
    <row r="56" spans="1:9" ht="12.75">
      <c r="A56" s="20" t="s">
        <v>21</v>
      </c>
      <c r="B56" s="20" t="s">
        <v>69</v>
      </c>
      <c r="C56" s="22" t="s">
        <v>87</v>
      </c>
      <c r="D56" s="18">
        <v>200</v>
      </c>
      <c r="E56" s="32">
        <f>D56*0.068</f>
        <v>13.600000000000001</v>
      </c>
      <c r="F56" s="36">
        <f t="shared" si="1"/>
        <v>3.4000000000000004</v>
      </c>
      <c r="G56" s="36">
        <v>3.4</v>
      </c>
      <c r="H56" s="37">
        <v>3.4</v>
      </c>
      <c r="I56" s="36">
        <f t="shared" si="0"/>
        <v>3.400000000000001</v>
      </c>
    </row>
    <row r="57" spans="1:9" ht="25.5">
      <c r="A57" s="46" t="s">
        <v>23</v>
      </c>
      <c r="B57" s="21" t="s">
        <v>71</v>
      </c>
      <c r="C57" s="22" t="s">
        <v>72</v>
      </c>
      <c r="D57" s="18">
        <v>50</v>
      </c>
      <c r="E57" s="32">
        <f>D57*0.05</f>
        <v>2.5</v>
      </c>
      <c r="F57" s="36">
        <f t="shared" si="1"/>
        <v>0.625</v>
      </c>
      <c r="G57" s="36">
        <v>0.63</v>
      </c>
      <c r="H57" s="37">
        <v>0.63</v>
      </c>
      <c r="I57" s="36">
        <f t="shared" si="0"/>
        <v>0.6150000000000001</v>
      </c>
    </row>
    <row r="58" spans="1:9" ht="12.75">
      <c r="A58" s="20" t="s">
        <v>73</v>
      </c>
      <c r="B58" s="20" t="s">
        <v>74</v>
      </c>
      <c r="C58" s="22" t="s">
        <v>75</v>
      </c>
      <c r="D58" s="18">
        <v>10</v>
      </c>
      <c r="E58" s="32">
        <f>D58*0.1</f>
        <v>1</v>
      </c>
      <c r="F58" s="36">
        <f t="shared" si="1"/>
        <v>0.25</v>
      </c>
      <c r="G58" s="36">
        <v>0.25</v>
      </c>
      <c r="H58" s="37">
        <v>0.25</v>
      </c>
      <c r="I58" s="36">
        <f t="shared" si="0"/>
        <v>0.25</v>
      </c>
    </row>
    <row r="59" spans="1:9" ht="12.75">
      <c r="A59" s="20" t="s">
        <v>26</v>
      </c>
      <c r="B59" s="21" t="s">
        <v>77</v>
      </c>
      <c r="C59" s="22" t="s">
        <v>68</v>
      </c>
      <c r="D59" s="18">
        <v>50</v>
      </c>
      <c r="E59" s="32">
        <f>D59*0.032</f>
        <v>1.6</v>
      </c>
      <c r="F59" s="36">
        <f t="shared" si="1"/>
        <v>0.4</v>
      </c>
      <c r="G59" s="36">
        <v>0.4</v>
      </c>
      <c r="H59" s="37">
        <v>0.4</v>
      </c>
      <c r="I59" s="36">
        <f t="shared" si="0"/>
        <v>0.40000000000000013</v>
      </c>
    </row>
    <row r="60" spans="1:9" ht="25.5">
      <c r="A60" s="20" t="s">
        <v>28</v>
      </c>
      <c r="B60" s="21" t="s">
        <v>79</v>
      </c>
      <c r="C60" s="22" t="s">
        <v>80</v>
      </c>
      <c r="D60" s="18"/>
      <c r="E60" s="32"/>
      <c r="F60" s="36"/>
      <c r="G60" s="36"/>
      <c r="H60" s="37"/>
      <c r="I60" s="36"/>
    </row>
    <row r="61" spans="1:9" ht="12.75">
      <c r="A61" s="20" t="s">
        <v>70</v>
      </c>
      <c r="B61" s="21" t="s">
        <v>82</v>
      </c>
      <c r="C61" s="22" t="s">
        <v>83</v>
      </c>
      <c r="D61" s="18">
        <v>100</v>
      </c>
      <c r="E61" s="32">
        <f>D61*0.02</f>
        <v>2</v>
      </c>
      <c r="F61" s="36">
        <f t="shared" si="1"/>
        <v>0.5</v>
      </c>
      <c r="G61" s="36">
        <v>0.5</v>
      </c>
      <c r="H61" s="37">
        <v>0.5</v>
      </c>
      <c r="I61" s="36">
        <f t="shared" si="0"/>
        <v>0.5</v>
      </c>
    </row>
    <row r="62" spans="1:9" ht="12.75">
      <c r="A62" s="20" t="s">
        <v>73</v>
      </c>
      <c r="B62" s="21" t="s">
        <v>154</v>
      </c>
      <c r="C62" s="22" t="s">
        <v>144</v>
      </c>
      <c r="D62" s="18">
        <v>40</v>
      </c>
      <c r="E62" s="32">
        <f>D62*0.128</f>
        <v>5.12</v>
      </c>
      <c r="F62" s="36">
        <f t="shared" si="1"/>
        <v>1.28</v>
      </c>
      <c r="G62" s="36">
        <v>1.28</v>
      </c>
      <c r="H62" s="37">
        <v>1.28</v>
      </c>
      <c r="I62" s="36">
        <f t="shared" si="0"/>
        <v>1.2799999999999996</v>
      </c>
    </row>
    <row r="63" spans="1:9" ht="12.75">
      <c r="A63" s="20" t="s">
        <v>76</v>
      </c>
      <c r="B63" s="21" t="s">
        <v>155</v>
      </c>
      <c r="C63" s="22" t="s">
        <v>144</v>
      </c>
      <c r="D63" s="18">
        <v>15</v>
      </c>
      <c r="E63" s="32">
        <f>D63*0.152</f>
        <v>2.28</v>
      </c>
      <c r="F63" s="36">
        <f t="shared" si="1"/>
        <v>0.57</v>
      </c>
      <c r="G63" s="36">
        <v>0.57</v>
      </c>
      <c r="H63" s="37">
        <v>0.57</v>
      </c>
      <c r="I63" s="36">
        <f t="shared" si="0"/>
        <v>0.5700000000000002</v>
      </c>
    </row>
    <row r="64" spans="1:9" ht="12.75">
      <c r="A64" s="46" t="s">
        <v>78</v>
      </c>
      <c r="B64" s="21" t="s">
        <v>84</v>
      </c>
      <c r="C64" s="22" t="s">
        <v>85</v>
      </c>
      <c r="D64" s="18">
        <v>10</v>
      </c>
      <c r="E64" s="32">
        <f>D64*0.1</f>
        <v>1</v>
      </c>
      <c r="F64" s="36">
        <f t="shared" si="1"/>
        <v>0.25</v>
      </c>
      <c r="G64" s="36">
        <v>0.25</v>
      </c>
      <c r="H64" s="37">
        <v>0.25</v>
      </c>
      <c r="I64" s="36">
        <f t="shared" si="0"/>
        <v>0.25</v>
      </c>
    </row>
    <row r="65" spans="1:9" ht="12.75">
      <c r="A65" s="46" t="s">
        <v>81</v>
      </c>
      <c r="B65" s="21" t="s">
        <v>86</v>
      </c>
      <c r="C65" s="22" t="s">
        <v>87</v>
      </c>
      <c r="D65" s="18">
        <v>30</v>
      </c>
      <c r="E65" s="32">
        <f>D65*0.03</f>
        <v>0.8999999999999999</v>
      </c>
      <c r="F65" s="36">
        <f t="shared" si="1"/>
        <v>0.22499999999999998</v>
      </c>
      <c r="G65" s="36">
        <v>0.23</v>
      </c>
      <c r="H65" s="37">
        <v>0.23</v>
      </c>
      <c r="I65" s="36">
        <f t="shared" si="0"/>
        <v>0.21499999999999994</v>
      </c>
    </row>
    <row r="66" spans="1:9" ht="12.75">
      <c r="A66" s="46" t="s">
        <v>156</v>
      </c>
      <c r="B66" s="21" t="s">
        <v>88</v>
      </c>
      <c r="C66" s="22" t="s">
        <v>89</v>
      </c>
      <c r="D66" s="18">
        <v>0</v>
      </c>
      <c r="E66" s="32">
        <f>D66*0.02</f>
        <v>0</v>
      </c>
      <c r="F66" s="36"/>
      <c r="G66" s="36"/>
      <c r="H66" s="37"/>
      <c r="I66" s="36"/>
    </row>
    <row r="67" spans="1:9" ht="12.75">
      <c r="A67" s="46" t="s">
        <v>157</v>
      </c>
      <c r="B67" s="37" t="s">
        <v>143</v>
      </c>
      <c r="C67" s="37" t="s">
        <v>144</v>
      </c>
      <c r="D67" s="37">
        <v>80</v>
      </c>
      <c r="E67" s="37">
        <f>D67*0.15</f>
        <v>12</v>
      </c>
      <c r="F67" s="36">
        <f t="shared" si="1"/>
        <v>3</v>
      </c>
      <c r="G67" s="37">
        <v>3</v>
      </c>
      <c r="H67" s="37">
        <v>3</v>
      </c>
      <c r="I67" s="36">
        <f t="shared" si="0"/>
        <v>3</v>
      </c>
    </row>
    <row r="68" spans="1:9" ht="12.75">
      <c r="A68" s="20" t="s">
        <v>31</v>
      </c>
      <c r="B68" s="137" t="s">
        <v>32</v>
      </c>
      <c r="C68" s="138"/>
      <c r="D68" s="138"/>
      <c r="E68" s="26"/>
      <c r="F68" s="36"/>
      <c r="G68" s="36"/>
      <c r="H68" s="37"/>
      <c r="I68" s="37"/>
    </row>
    <row r="69" spans="1:9" ht="12.75">
      <c r="A69" s="20" t="s">
        <v>33</v>
      </c>
      <c r="B69" s="21" t="s">
        <v>90</v>
      </c>
      <c r="C69" s="22" t="s">
        <v>91</v>
      </c>
      <c r="D69" s="18">
        <v>23.36</v>
      </c>
      <c r="E69" s="32">
        <f>D69*0.2</f>
        <v>4.672</v>
      </c>
      <c r="F69" s="36"/>
      <c r="G69" s="36">
        <v>4.67</v>
      </c>
      <c r="H69" s="37"/>
      <c r="I69" s="37"/>
    </row>
    <row r="70" spans="1:9" ht="12.75">
      <c r="A70" s="20" t="s">
        <v>39</v>
      </c>
      <c r="B70" s="137" t="s">
        <v>32</v>
      </c>
      <c r="C70" s="138"/>
      <c r="D70" s="138"/>
      <c r="E70" s="26"/>
      <c r="F70" s="36"/>
      <c r="G70" s="36"/>
      <c r="H70" s="37"/>
      <c r="I70" s="37"/>
    </row>
    <row r="71" spans="1:9" ht="12.75">
      <c r="A71" s="20" t="s">
        <v>40</v>
      </c>
      <c r="B71" s="21" t="s">
        <v>92</v>
      </c>
      <c r="C71" s="22" t="s">
        <v>93</v>
      </c>
      <c r="D71" s="18">
        <v>5</v>
      </c>
      <c r="E71" s="32">
        <f>D71*0.3</f>
        <v>1.5</v>
      </c>
      <c r="F71" s="36"/>
      <c r="G71" s="36"/>
      <c r="H71" s="37">
        <v>1.5</v>
      </c>
      <c r="I71" s="37"/>
    </row>
    <row r="72" spans="1:9" ht="12.75">
      <c r="A72" s="20" t="s">
        <v>41</v>
      </c>
      <c r="B72" s="21" t="s">
        <v>94</v>
      </c>
      <c r="C72" s="22" t="s">
        <v>95</v>
      </c>
      <c r="D72" s="18"/>
      <c r="E72" s="32"/>
      <c r="F72" s="36"/>
      <c r="G72" s="36"/>
      <c r="H72" s="37"/>
      <c r="I72" s="37"/>
    </row>
    <row r="73" spans="1:9" ht="12.75">
      <c r="A73" s="20" t="s">
        <v>47</v>
      </c>
      <c r="B73" s="21" t="s">
        <v>96</v>
      </c>
      <c r="C73" s="22" t="s">
        <v>97</v>
      </c>
      <c r="D73" s="18">
        <v>398.64</v>
      </c>
      <c r="E73" s="32">
        <f>D73*0.0976</f>
        <v>38.907264</v>
      </c>
      <c r="F73" s="36"/>
      <c r="G73" s="36">
        <v>38.91</v>
      </c>
      <c r="H73" s="37"/>
      <c r="I73" s="37"/>
    </row>
    <row r="74" spans="1:9" ht="12.75">
      <c r="A74" s="20" t="s">
        <v>52</v>
      </c>
      <c r="B74" s="21" t="s">
        <v>98</v>
      </c>
      <c r="C74" s="22" t="s">
        <v>91</v>
      </c>
      <c r="D74" s="18">
        <v>23.36</v>
      </c>
      <c r="E74" s="32">
        <f>D74*0.874</f>
        <v>20.41664</v>
      </c>
      <c r="F74" s="36"/>
      <c r="G74" s="36">
        <v>20.42</v>
      </c>
      <c r="H74" s="37"/>
      <c r="I74" s="37"/>
    </row>
    <row r="75" spans="1:9" ht="12.75">
      <c r="A75" s="20" t="s">
        <v>99</v>
      </c>
      <c r="B75" s="21" t="s">
        <v>100</v>
      </c>
      <c r="C75" s="22" t="s">
        <v>101</v>
      </c>
      <c r="D75" s="18">
        <v>100</v>
      </c>
      <c r="E75" s="32">
        <f>D75*0.1</f>
        <v>10</v>
      </c>
      <c r="F75" s="36">
        <v>3</v>
      </c>
      <c r="G75" s="36"/>
      <c r="H75" s="37">
        <v>3</v>
      </c>
      <c r="I75" s="37">
        <v>4</v>
      </c>
    </row>
    <row r="76" spans="1:9" ht="12.75">
      <c r="A76" s="20" t="s">
        <v>102</v>
      </c>
      <c r="B76" s="21" t="s">
        <v>134</v>
      </c>
      <c r="C76" s="22" t="s">
        <v>130</v>
      </c>
      <c r="D76" s="18">
        <v>5</v>
      </c>
      <c r="E76" s="32">
        <f>D76*0.85</f>
        <v>4.25</v>
      </c>
      <c r="F76" s="36">
        <v>1.7</v>
      </c>
      <c r="G76" s="36"/>
      <c r="H76" s="37">
        <v>1.7</v>
      </c>
      <c r="I76" s="36">
        <f>E76-F76-H76</f>
        <v>0.8499999999999999</v>
      </c>
    </row>
    <row r="77" spans="1:9" ht="12.75">
      <c r="A77" s="20" t="s">
        <v>103</v>
      </c>
      <c r="B77" s="57" t="s">
        <v>135</v>
      </c>
      <c r="C77" s="58" t="s">
        <v>130</v>
      </c>
      <c r="D77" s="18">
        <v>0</v>
      </c>
      <c r="E77" s="32">
        <v>0</v>
      </c>
      <c r="F77" s="36"/>
      <c r="G77" s="36"/>
      <c r="H77" s="37"/>
      <c r="I77" s="37"/>
    </row>
    <row r="78" spans="1:11" ht="12.75">
      <c r="A78" s="142" t="s">
        <v>146</v>
      </c>
      <c r="B78" s="140"/>
      <c r="C78" s="140"/>
      <c r="D78" s="141"/>
      <c r="E78" s="40">
        <f>SUM(E47:E77)</f>
        <v>149.245904</v>
      </c>
      <c r="F78" s="41">
        <f>SUM(F46:F77)</f>
        <v>22.075</v>
      </c>
      <c r="G78" s="41">
        <f>SUM(G46:G77)</f>
        <v>81.39</v>
      </c>
      <c r="H78" s="42">
        <f>SUM(H46:H77)</f>
        <v>23.59</v>
      </c>
      <c r="I78" s="41">
        <f>SUM(I46:I77)</f>
        <v>22.195</v>
      </c>
      <c r="J78" s="72">
        <f>F78+G78+H78+I78</f>
        <v>149.25</v>
      </c>
      <c r="K78" s="68"/>
    </row>
    <row r="79" spans="1:9" ht="12.75">
      <c r="A79" s="51" t="s">
        <v>104</v>
      </c>
      <c r="B79" s="39"/>
      <c r="C79" s="39"/>
      <c r="D79" s="39"/>
      <c r="E79" s="33"/>
      <c r="F79" s="36"/>
      <c r="G79" s="36"/>
      <c r="H79" s="37"/>
      <c r="I79" s="37"/>
    </row>
    <row r="80" spans="1:9" ht="12.75">
      <c r="A80" s="53" t="s">
        <v>7</v>
      </c>
      <c r="B80" s="56" t="s">
        <v>105</v>
      </c>
      <c r="C80" s="22"/>
      <c r="D80" s="18"/>
      <c r="E80" s="32"/>
      <c r="F80" s="36"/>
      <c r="G80" s="36"/>
      <c r="H80" s="37"/>
      <c r="I80" s="37"/>
    </row>
    <row r="81" spans="1:9" ht="12.75">
      <c r="A81" s="20" t="s">
        <v>9</v>
      </c>
      <c r="B81" s="20" t="s">
        <v>106</v>
      </c>
      <c r="C81" s="22" t="s">
        <v>107</v>
      </c>
      <c r="D81" s="18">
        <f>1915+2900</f>
        <v>4815</v>
      </c>
      <c r="E81" s="32">
        <f>99.375+29.63</f>
        <v>129.005</v>
      </c>
      <c r="F81" s="36">
        <f>E81/4</f>
        <v>32.25125</v>
      </c>
      <c r="G81" s="36">
        <v>32.25</v>
      </c>
      <c r="H81" s="37">
        <v>32.25</v>
      </c>
      <c r="I81" s="37">
        <v>32.25</v>
      </c>
    </row>
    <row r="82" spans="1:9" ht="12.75">
      <c r="A82" s="20" t="s">
        <v>12</v>
      </c>
      <c r="B82" s="21" t="s">
        <v>108</v>
      </c>
      <c r="C82" s="22" t="s">
        <v>109</v>
      </c>
      <c r="D82" s="18">
        <v>1</v>
      </c>
      <c r="E82" s="32">
        <v>20</v>
      </c>
      <c r="F82" s="36"/>
      <c r="G82" s="36">
        <v>10</v>
      </c>
      <c r="H82" s="37">
        <v>10</v>
      </c>
      <c r="I82" s="37"/>
    </row>
    <row r="83" spans="1:9" ht="12.75">
      <c r="A83" s="20" t="s">
        <v>15</v>
      </c>
      <c r="B83" s="21" t="s">
        <v>110</v>
      </c>
      <c r="C83" s="22" t="s">
        <v>107</v>
      </c>
      <c r="D83" s="18">
        <v>1500</v>
      </c>
      <c r="E83" s="32">
        <v>30</v>
      </c>
      <c r="F83" s="36"/>
      <c r="G83" s="36">
        <v>15</v>
      </c>
      <c r="H83" s="37">
        <v>15</v>
      </c>
      <c r="I83" s="37"/>
    </row>
    <row r="84" spans="1:9" ht="12.75">
      <c r="A84" s="20" t="s">
        <v>31</v>
      </c>
      <c r="B84" s="56" t="s">
        <v>111</v>
      </c>
      <c r="C84" s="22"/>
      <c r="D84" s="18"/>
      <c r="E84" s="32"/>
      <c r="F84" s="36"/>
      <c r="G84" s="36"/>
      <c r="H84" s="37"/>
      <c r="I84" s="37"/>
    </row>
    <row r="85" spans="1:9" ht="25.5">
      <c r="A85" s="20"/>
      <c r="B85" s="21" t="s">
        <v>112</v>
      </c>
      <c r="C85" s="22" t="s">
        <v>113</v>
      </c>
      <c r="D85" s="18"/>
      <c r="E85" s="32"/>
      <c r="F85" s="36"/>
      <c r="G85" s="36"/>
      <c r="H85" s="37"/>
      <c r="I85" s="37"/>
    </row>
    <row r="86" spans="1:9" ht="25.5">
      <c r="A86" s="20"/>
      <c r="B86" s="21" t="s">
        <v>114</v>
      </c>
      <c r="C86" s="22" t="s">
        <v>113</v>
      </c>
      <c r="D86" s="18">
        <v>1011</v>
      </c>
      <c r="E86" s="32">
        <v>50</v>
      </c>
      <c r="F86" s="36">
        <f>E86/4</f>
        <v>12.5</v>
      </c>
      <c r="G86" s="36">
        <v>12.5</v>
      </c>
      <c r="H86" s="37">
        <v>12.5</v>
      </c>
      <c r="I86" s="36">
        <v>12.49</v>
      </c>
    </row>
    <row r="87" spans="1:11" ht="12.75">
      <c r="A87" s="139" t="s">
        <v>147</v>
      </c>
      <c r="B87" s="140"/>
      <c r="C87" s="140"/>
      <c r="D87" s="141"/>
      <c r="E87" s="40">
        <f>SUM(E81:E86)</f>
        <v>229.005</v>
      </c>
      <c r="F87" s="41">
        <f>SUM(F81:F86)</f>
        <v>44.75125</v>
      </c>
      <c r="G87" s="41">
        <f>SUM(G81:G86)</f>
        <v>69.75</v>
      </c>
      <c r="H87" s="42">
        <f>SUM(H81:H86)</f>
        <v>69.75</v>
      </c>
      <c r="I87" s="41">
        <f>SUM(I81:I86)</f>
        <v>44.74</v>
      </c>
      <c r="J87" s="72">
        <f>F87+G87+H87+I87</f>
        <v>228.99125</v>
      </c>
      <c r="K87" s="68"/>
    </row>
    <row r="88" spans="1:9" ht="12.75">
      <c r="A88" s="136" t="s">
        <v>115</v>
      </c>
      <c r="B88" s="136"/>
      <c r="C88" s="136"/>
      <c r="D88" s="136"/>
      <c r="E88" s="34"/>
      <c r="F88" s="36"/>
      <c r="G88" s="36"/>
      <c r="H88" s="37"/>
      <c r="I88" s="37"/>
    </row>
    <row r="89" spans="1:9" ht="12.75">
      <c r="A89" s="59">
        <v>1</v>
      </c>
      <c r="B89" s="53" t="s">
        <v>126</v>
      </c>
      <c r="C89" s="60" t="s">
        <v>127</v>
      </c>
      <c r="D89" s="52">
        <v>9003.2</v>
      </c>
      <c r="E89" s="35">
        <f>D89*0.59*12/1000</f>
        <v>63.742656000000004</v>
      </c>
      <c r="F89" s="36">
        <f>E89/4</f>
        <v>15.935664000000001</v>
      </c>
      <c r="G89" s="36">
        <v>15.94</v>
      </c>
      <c r="H89" s="37">
        <v>15.94</v>
      </c>
      <c r="I89" s="36">
        <f>E89-F89-G89-H89</f>
        <v>15.926992000000004</v>
      </c>
    </row>
    <row r="90" spans="1:9" ht="12.75">
      <c r="A90" s="59">
        <v>2</v>
      </c>
      <c r="B90" s="53" t="s">
        <v>116</v>
      </c>
      <c r="C90" s="60" t="s">
        <v>117</v>
      </c>
      <c r="D90" s="52">
        <v>1150</v>
      </c>
      <c r="E90" s="31">
        <f>D90*1.4*2/1000</f>
        <v>3.22</v>
      </c>
      <c r="F90" s="36">
        <f>E90/4</f>
        <v>0.805</v>
      </c>
      <c r="G90" s="36">
        <v>0.81</v>
      </c>
      <c r="H90" s="37">
        <v>0.81</v>
      </c>
      <c r="I90" s="36">
        <v>0.81</v>
      </c>
    </row>
    <row r="91" spans="1:10" ht="25.5">
      <c r="A91" s="59">
        <v>3</v>
      </c>
      <c r="B91" s="61" t="s">
        <v>128</v>
      </c>
      <c r="C91" s="60"/>
      <c r="D91" s="52"/>
      <c r="E91" s="35">
        <v>40</v>
      </c>
      <c r="F91" s="36">
        <f>E91/4</f>
        <v>10</v>
      </c>
      <c r="G91" s="36">
        <v>10</v>
      </c>
      <c r="H91" s="37">
        <v>10</v>
      </c>
      <c r="I91" s="36">
        <v>10</v>
      </c>
      <c r="J91" s="23">
        <f>F91+G91+I91+H91</f>
        <v>40</v>
      </c>
    </row>
    <row r="92" spans="1:10" ht="12.75">
      <c r="A92" s="59">
        <v>4</v>
      </c>
      <c r="B92" s="63" t="s">
        <v>191</v>
      </c>
      <c r="C92" s="60" t="s">
        <v>127</v>
      </c>
      <c r="D92" s="52">
        <v>9003.2</v>
      </c>
      <c r="E92" s="31">
        <v>86.122</v>
      </c>
      <c r="F92" s="36">
        <f>E92/4</f>
        <v>21.5305</v>
      </c>
      <c r="G92" s="36">
        <v>20.45</v>
      </c>
      <c r="H92" s="37">
        <v>20.45</v>
      </c>
      <c r="I92" s="36">
        <f>E92-F92-G92-H92</f>
        <v>23.691499999999994</v>
      </c>
      <c r="J92" s="23"/>
    </row>
    <row r="93" spans="1:11" ht="12.75">
      <c r="A93" s="142" t="s">
        <v>149</v>
      </c>
      <c r="B93" s="140"/>
      <c r="C93" s="140"/>
      <c r="D93" s="141"/>
      <c r="E93" s="40">
        <f>SUM(E89:E92)</f>
        <v>193.084656</v>
      </c>
      <c r="F93" s="41">
        <f>SUM(F89:F92)</f>
        <v>48.271164</v>
      </c>
      <c r="G93" s="41">
        <f>SUM(G89:G92)</f>
        <v>47.2</v>
      </c>
      <c r="H93" s="42">
        <f>SUM(H89:H92)</f>
        <v>47.2</v>
      </c>
      <c r="I93" s="41">
        <f>SUM(I89:I92)</f>
        <v>50.428492</v>
      </c>
      <c r="J93" s="72">
        <f>F93+G93+H93+I93</f>
        <v>193.099656</v>
      </c>
      <c r="K93" s="68"/>
    </row>
    <row r="94" spans="1:11" ht="12.75">
      <c r="A94" s="139" t="s">
        <v>150</v>
      </c>
      <c r="B94" s="140"/>
      <c r="C94" s="140"/>
      <c r="D94" s="141"/>
      <c r="E94" s="40">
        <f>E43+E78+E87+E93</f>
        <v>707.82556</v>
      </c>
      <c r="F94" s="41">
        <f>F43+F78+F87+F93</f>
        <v>146.342414</v>
      </c>
      <c r="G94" s="41">
        <f>G43+G78+G87+G93</f>
        <v>211.39499999999998</v>
      </c>
      <c r="H94" s="41">
        <f>H43+H78+H87+H93</f>
        <v>191.09499999999997</v>
      </c>
      <c r="I94" s="41">
        <f>I43+I78+I87+I93</f>
        <v>158.998492</v>
      </c>
      <c r="J94" s="24">
        <v>707.826</v>
      </c>
      <c r="K94" s="23">
        <f>J94-E94</f>
        <v>0.00044000000002597517</v>
      </c>
    </row>
    <row r="95" spans="1:11" ht="25.5">
      <c r="A95" s="150">
        <v>1</v>
      </c>
      <c r="B95" s="63" t="s">
        <v>182</v>
      </c>
      <c r="C95" s="94" t="s">
        <v>107</v>
      </c>
      <c r="D95" s="52">
        <v>9003.2</v>
      </c>
      <c r="E95" s="104">
        <f>(2.32*D95*10/1000)+(4100*5*2/1000)</f>
        <v>249.87424</v>
      </c>
      <c r="F95" s="97">
        <f>E95/4</f>
        <v>62.46856</v>
      </c>
      <c r="G95" s="97">
        <v>62.5</v>
      </c>
      <c r="H95" s="97">
        <v>62.5</v>
      </c>
      <c r="I95" s="97">
        <v>62.5</v>
      </c>
      <c r="K95" s="23"/>
    </row>
    <row r="96" spans="1:11" ht="12.75">
      <c r="A96" s="151"/>
      <c r="B96" s="62" t="s">
        <v>183</v>
      </c>
      <c r="C96" s="66"/>
      <c r="D96" s="52"/>
      <c r="E96" s="104">
        <v>32.2</v>
      </c>
      <c r="F96" s="97">
        <f>E96/4</f>
        <v>8.05</v>
      </c>
      <c r="G96" s="97">
        <v>8.1</v>
      </c>
      <c r="H96" s="97">
        <v>8.1</v>
      </c>
      <c r="I96" s="97">
        <v>8.1</v>
      </c>
      <c r="K96" s="23"/>
    </row>
    <row r="97" spans="1:11" ht="12.75">
      <c r="A97" s="152"/>
      <c r="B97" s="82" t="s">
        <v>184</v>
      </c>
      <c r="C97" s="81"/>
      <c r="D97" s="41"/>
      <c r="E97" s="99">
        <f>SUM(E95:E96)</f>
        <v>282.07424</v>
      </c>
      <c r="F97" s="99">
        <f>SUM(F95:F96)</f>
        <v>70.51856</v>
      </c>
      <c r="G97" s="99">
        <f>SUM(G95:G96)</f>
        <v>70.6</v>
      </c>
      <c r="H97" s="99">
        <f>SUM(H95:H96)</f>
        <v>70.6</v>
      </c>
      <c r="I97" s="100">
        <f>SUM(I95:I96)</f>
        <v>70.6</v>
      </c>
      <c r="J97" s="108"/>
      <c r="K97" s="23"/>
    </row>
    <row r="98" spans="1:11" ht="25.5">
      <c r="A98" s="150">
        <v>2</v>
      </c>
      <c r="B98" s="62" t="s">
        <v>188</v>
      </c>
      <c r="C98" s="66" t="s">
        <v>107</v>
      </c>
      <c r="D98" s="52">
        <v>9003.2</v>
      </c>
      <c r="E98" s="104">
        <f>D98*1.62*12/1000</f>
        <v>175.02220800000003</v>
      </c>
      <c r="F98" s="97">
        <f>E98/4</f>
        <v>43.75555200000001</v>
      </c>
      <c r="G98" s="97">
        <v>43.8</v>
      </c>
      <c r="H98" s="97">
        <v>43.8</v>
      </c>
      <c r="I98" s="97">
        <v>43.8</v>
      </c>
      <c r="K98" s="23"/>
    </row>
    <row r="99" spans="1:11" ht="12.75">
      <c r="A99" s="151"/>
      <c r="B99" s="62" t="s">
        <v>183</v>
      </c>
      <c r="C99" s="66"/>
      <c r="D99" s="52"/>
      <c r="E99" s="104">
        <f>180.424-E98</f>
        <v>5.401791999999972</v>
      </c>
      <c r="F99" s="97">
        <f>E99/4</f>
        <v>1.350447999999993</v>
      </c>
      <c r="G99" s="97">
        <v>1.4</v>
      </c>
      <c r="H99" s="97">
        <v>1.4</v>
      </c>
      <c r="I99" s="97">
        <v>1.4</v>
      </c>
      <c r="K99" s="23"/>
    </row>
    <row r="100" spans="1:11" ht="12.75">
      <c r="A100" s="152"/>
      <c r="B100" s="82" t="s">
        <v>189</v>
      </c>
      <c r="C100" s="81"/>
      <c r="D100" s="41"/>
      <c r="E100" s="99">
        <f>SUM(E98:E99)</f>
        <v>180.424</v>
      </c>
      <c r="F100" s="99">
        <f>SUM(F98:F99)</f>
        <v>45.106</v>
      </c>
      <c r="G100" s="99">
        <f>SUM(G98:G99)</f>
        <v>45.199999999999996</v>
      </c>
      <c r="H100" s="99">
        <f>SUM(H98:H99)</f>
        <v>45.199999999999996</v>
      </c>
      <c r="I100" s="100">
        <f>SUM(I98:I99)</f>
        <v>45.199999999999996</v>
      </c>
      <c r="J100" s="108"/>
      <c r="K100" s="23"/>
    </row>
    <row r="101" spans="1:11" ht="25.5">
      <c r="A101" s="150">
        <v>3</v>
      </c>
      <c r="B101" s="62" t="s">
        <v>185</v>
      </c>
      <c r="C101" s="60" t="s">
        <v>107</v>
      </c>
      <c r="D101" s="52">
        <v>9003.2</v>
      </c>
      <c r="E101" s="104">
        <f>D101*0.45*12/1000</f>
        <v>48.61728000000001</v>
      </c>
      <c r="F101" s="97">
        <f>E101/4</f>
        <v>12.154320000000002</v>
      </c>
      <c r="G101" s="97">
        <v>12.2</v>
      </c>
      <c r="H101" s="97">
        <v>12.2</v>
      </c>
      <c r="I101" s="97">
        <v>12.2</v>
      </c>
      <c r="K101" s="23"/>
    </row>
    <row r="102" spans="1:11" ht="12.75">
      <c r="A102" s="151"/>
      <c r="B102" s="63" t="s">
        <v>183</v>
      </c>
      <c r="C102" s="60"/>
      <c r="D102" s="52"/>
      <c r="E102" s="104">
        <v>7.7</v>
      </c>
      <c r="F102" s="97">
        <f>E102/4</f>
        <v>1.925</v>
      </c>
      <c r="G102" s="97">
        <v>1.9</v>
      </c>
      <c r="H102" s="97">
        <v>1.9</v>
      </c>
      <c r="I102" s="97">
        <v>1.9</v>
      </c>
      <c r="K102" s="23"/>
    </row>
    <row r="103" spans="1:11" ht="25.5">
      <c r="A103" s="152"/>
      <c r="B103" s="83" t="s">
        <v>186</v>
      </c>
      <c r="C103" s="84"/>
      <c r="D103" s="41"/>
      <c r="E103" s="99">
        <f>SUM(E101:E102)</f>
        <v>56.31728000000001</v>
      </c>
      <c r="F103" s="99">
        <f>SUM(F101:F102)</f>
        <v>14.079320000000003</v>
      </c>
      <c r="G103" s="99">
        <f>SUM(G101:G102)</f>
        <v>14.1</v>
      </c>
      <c r="H103" s="99">
        <f>SUM(H101:H102)</f>
        <v>14.1</v>
      </c>
      <c r="I103" s="100">
        <f>SUM(I101:I102)</f>
        <v>14.1</v>
      </c>
      <c r="J103" s="108"/>
      <c r="K103" s="23"/>
    </row>
    <row r="104" spans="1:11" ht="12.75">
      <c r="A104" s="126" t="s">
        <v>152</v>
      </c>
      <c r="B104" s="119"/>
      <c r="C104" s="119"/>
      <c r="D104" s="119"/>
      <c r="E104" s="105">
        <f>E97+E100+E103</f>
        <v>518.81552</v>
      </c>
      <c r="F104" s="105">
        <f>F97+F100+F103</f>
        <v>129.70388</v>
      </c>
      <c r="G104" s="105">
        <f>G97+G100+G103</f>
        <v>129.89999999999998</v>
      </c>
      <c r="H104" s="105">
        <f>H97+H100+H103</f>
        <v>129.89999999999998</v>
      </c>
      <c r="I104" s="105">
        <f>I97+I100+I103</f>
        <v>129.89999999999998</v>
      </c>
      <c r="K104" s="23"/>
    </row>
    <row r="105" spans="1:10" ht="15.75">
      <c r="A105" s="145" t="s">
        <v>153</v>
      </c>
      <c r="B105" s="146"/>
      <c r="C105" s="146"/>
      <c r="D105" s="146"/>
      <c r="E105" s="65">
        <f>E94+E104</f>
        <v>1226.6410799999999</v>
      </c>
      <c r="F105" s="65">
        <f>F94+F104</f>
        <v>276.046294</v>
      </c>
      <c r="G105" s="65">
        <f>G94+G104</f>
        <v>341.29499999999996</v>
      </c>
      <c r="H105" s="65">
        <f>H94+H104</f>
        <v>320.99499999999995</v>
      </c>
      <c r="I105" s="65">
        <f>I94+I104</f>
        <v>288.898492</v>
      </c>
      <c r="J105" s="23"/>
    </row>
    <row r="106" spans="1:9" ht="12.75">
      <c r="A106" s="124" t="s">
        <v>118</v>
      </c>
      <c r="B106" s="124"/>
      <c r="C106" s="124"/>
      <c r="D106" s="124"/>
      <c r="E106" s="125"/>
      <c r="F106" s="36"/>
      <c r="G106" s="36"/>
      <c r="H106" s="37"/>
      <c r="I106" s="37"/>
    </row>
    <row r="107" spans="1:9" ht="12.75">
      <c r="A107" s="53" t="s">
        <v>7</v>
      </c>
      <c r="B107" s="53" t="s">
        <v>119</v>
      </c>
      <c r="C107" s="66" t="s">
        <v>120</v>
      </c>
      <c r="D107" s="52">
        <v>110.691</v>
      </c>
      <c r="E107" s="31"/>
      <c r="F107" s="36"/>
      <c r="G107" s="36"/>
      <c r="H107" s="37"/>
      <c r="I107" s="37"/>
    </row>
    <row r="108" spans="1:9" ht="12.75">
      <c r="A108" s="53" t="s">
        <v>31</v>
      </c>
      <c r="B108" s="53" t="s">
        <v>121</v>
      </c>
      <c r="C108" s="66" t="s">
        <v>122</v>
      </c>
      <c r="D108" s="52">
        <f>12+4</f>
        <v>16</v>
      </c>
      <c r="E108" s="31"/>
      <c r="F108" s="36"/>
      <c r="G108" s="36"/>
      <c r="H108" s="37"/>
      <c r="I108" s="37"/>
    </row>
    <row r="109" spans="1:11" ht="12.75">
      <c r="A109" s="53" t="s">
        <v>39</v>
      </c>
      <c r="B109" s="53" t="s">
        <v>123</v>
      </c>
      <c r="C109" s="66" t="s">
        <v>122</v>
      </c>
      <c r="D109" s="52">
        <f>396+160+120+144+153+153+63+40+196+220+60+60+60+80</f>
        <v>1905</v>
      </c>
      <c r="E109" s="31"/>
      <c r="F109" s="36"/>
      <c r="G109" s="36"/>
      <c r="H109" s="37"/>
      <c r="I109" s="37"/>
      <c r="J109"/>
      <c r="K109"/>
    </row>
    <row r="110" spans="1:7" ht="12.75">
      <c r="A110" s="67"/>
      <c r="B110" s="67"/>
      <c r="C110" s="67"/>
      <c r="D110" s="25"/>
      <c r="E110" s="25"/>
      <c r="F110" s="23"/>
      <c r="G110" s="23"/>
    </row>
    <row r="111" spans="1:7" ht="12.75">
      <c r="A111" s="67"/>
      <c r="B111" s="67" t="s">
        <v>124</v>
      </c>
      <c r="C111" s="162" t="s">
        <v>176</v>
      </c>
      <c r="D111" s="163"/>
      <c r="E111" s="163"/>
      <c r="F111" s="23"/>
      <c r="G111" s="23"/>
    </row>
    <row r="112" spans="1:7" ht="12.75">
      <c r="A112" s="67"/>
      <c r="B112" s="67"/>
      <c r="C112" s="67"/>
      <c r="D112" s="25"/>
      <c r="E112" s="25"/>
      <c r="F112" s="23"/>
      <c r="G112" s="23"/>
    </row>
    <row r="113" spans="2:7" ht="12.75">
      <c r="B113" s="95" t="s">
        <v>194</v>
      </c>
      <c r="C113" s="24" t="s">
        <v>198</v>
      </c>
      <c r="D113" s="23"/>
      <c r="E113" s="23"/>
      <c r="F113" s="23"/>
      <c r="G113" s="23"/>
    </row>
  </sheetData>
  <mergeCells count="33">
    <mergeCell ref="A10:I10"/>
    <mergeCell ref="A11:I11"/>
    <mergeCell ref="E2:I2"/>
    <mergeCell ref="E3:I3"/>
    <mergeCell ref="E4:I4"/>
    <mergeCell ref="A9:I9"/>
    <mergeCell ref="H15:H16"/>
    <mergeCell ref="I15:I16"/>
    <mergeCell ref="A15:A16"/>
    <mergeCell ref="B15:B16"/>
    <mergeCell ref="C15:C16"/>
    <mergeCell ref="D15:E15"/>
    <mergeCell ref="G15:G16"/>
    <mergeCell ref="A43:D43"/>
    <mergeCell ref="A44:D44"/>
    <mergeCell ref="F15:F16"/>
    <mergeCell ref="B18:E18"/>
    <mergeCell ref="B28:D28"/>
    <mergeCell ref="B31:D31"/>
    <mergeCell ref="C111:E111"/>
    <mergeCell ref="A105:D105"/>
    <mergeCell ref="A78:D78"/>
    <mergeCell ref="B68:D68"/>
    <mergeCell ref="B70:D70"/>
    <mergeCell ref="A94:D94"/>
    <mergeCell ref="A87:D87"/>
    <mergeCell ref="A88:D88"/>
    <mergeCell ref="A106:E106"/>
    <mergeCell ref="A93:D93"/>
    <mergeCell ref="A95:A97"/>
    <mergeCell ref="A98:A100"/>
    <mergeCell ref="A101:A103"/>
    <mergeCell ref="A104:D104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7"/>
  </sheetPr>
  <dimension ref="A1:K117"/>
  <sheetViews>
    <sheetView workbookViewId="0" topLeftCell="A34">
      <selection activeCell="A98" sqref="A98:I108"/>
    </sheetView>
  </sheetViews>
  <sheetFormatPr defaultColWidth="9.00390625" defaultRowHeight="12.75"/>
  <cols>
    <col min="1" max="1" width="4.75390625" style="24" customWidth="1"/>
    <col min="2" max="2" width="60.125" style="24" customWidth="1"/>
    <col min="3" max="3" width="26.375" style="24" customWidth="1"/>
    <col min="4" max="8" width="9.125" style="24" customWidth="1"/>
    <col min="9" max="9" width="10.25390625" style="24" customWidth="1"/>
    <col min="10" max="16384" width="9.125" style="24" customWidth="1"/>
  </cols>
  <sheetData>
    <row r="1" spans="1:5" ht="12.75">
      <c r="A1"/>
      <c r="B1"/>
      <c r="C1"/>
      <c r="D1"/>
      <c r="E1"/>
    </row>
    <row r="2" spans="2:9" ht="12.75">
      <c r="B2" s="107" t="s">
        <v>207</v>
      </c>
      <c r="E2" s="173" t="s">
        <v>159</v>
      </c>
      <c r="F2" s="173"/>
      <c r="G2" s="173"/>
      <c r="H2" s="173"/>
      <c r="I2" s="173"/>
    </row>
    <row r="3" spans="2:9" ht="12.75">
      <c r="B3" s="24" t="s">
        <v>223</v>
      </c>
      <c r="E3" s="173" t="s">
        <v>192</v>
      </c>
      <c r="F3" s="173"/>
      <c r="G3" s="173"/>
      <c r="H3" s="173"/>
      <c r="I3" s="173"/>
    </row>
    <row r="4" spans="2:9" ht="12.75">
      <c r="B4" s="24" t="s">
        <v>211</v>
      </c>
      <c r="E4" s="173" t="s">
        <v>160</v>
      </c>
      <c r="F4" s="173"/>
      <c r="G4" s="173"/>
      <c r="H4" s="173"/>
      <c r="I4" s="173"/>
    </row>
    <row r="5" spans="5:9" ht="12.75">
      <c r="E5" s="174" t="s">
        <v>193</v>
      </c>
      <c r="F5" s="173"/>
      <c r="G5" s="173"/>
      <c r="H5" s="173"/>
      <c r="I5" s="173"/>
    </row>
    <row r="6" spans="5:9" ht="12.75">
      <c r="E6" s="173"/>
      <c r="F6" s="173"/>
      <c r="G6" s="173"/>
      <c r="H6" s="173"/>
      <c r="I6" s="173"/>
    </row>
    <row r="7" spans="5:9" ht="12.75">
      <c r="E7" s="111"/>
      <c r="F7" s="111"/>
      <c r="G7" s="111"/>
      <c r="H7" s="111"/>
      <c r="I7" s="111"/>
    </row>
    <row r="8" spans="5:9" ht="12.75">
      <c r="E8" s="111"/>
      <c r="F8" s="111"/>
      <c r="G8" s="111"/>
      <c r="H8" s="111"/>
      <c r="I8" s="111"/>
    </row>
    <row r="9" spans="5:9" ht="12.75">
      <c r="E9" s="111"/>
      <c r="F9" s="111"/>
      <c r="G9" s="111"/>
      <c r="H9" s="111"/>
      <c r="I9" s="111"/>
    </row>
    <row r="11" spans="1:9" ht="12.75">
      <c r="A11" s="158" t="s">
        <v>125</v>
      </c>
      <c r="B11" s="158"/>
      <c r="C11" s="158"/>
      <c r="D11" s="158"/>
      <c r="E11" s="158"/>
      <c r="F11" s="158"/>
      <c r="G11" s="158"/>
      <c r="H11" s="158"/>
      <c r="I11" s="158"/>
    </row>
    <row r="12" spans="1:9" ht="12.75">
      <c r="A12" s="159" t="s">
        <v>170</v>
      </c>
      <c r="B12" s="158"/>
      <c r="C12" s="158"/>
      <c r="D12" s="158"/>
      <c r="E12" s="158"/>
      <c r="F12" s="158"/>
      <c r="G12" s="158"/>
      <c r="H12" s="158"/>
      <c r="I12" s="158"/>
    </row>
    <row r="13" spans="1:9" ht="12.75">
      <c r="A13" s="160" t="s">
        <v>178</v>
      </c>
      <c r="B13" s="160"/>
      <c r="C13" s="160"/>
      <c r="D13" s="160"/>
      <c r="E13" s="160"/>
      <c r="F13" s="160"/>
      <c r="G13" s="160"/>
      <c r="H13" s="160"/>
      <c r="I13" s="160"/>
    </row>
    <row r="14" spans="1:9" ht="12.75">
      <c r="A14" s="110"/>
      <c r="B14" s="110"/>
      <c r="C14" s="110"/>
      <c r="D14" s="110"/>
      <c r="E14" s="110"/>
      <c r="F14" s="110"/>
      <c r="G14" s="110"/>
      <c r="H14" s="110"/>
      <c r="I14" s="110"/>
    </row>
    <row r="15" spans="1:9" ht="12.75">
      <c r="A15" s="110"/>
      <c r="B15" s="110"/>
      <c r="C15" s="110"/>
      <c r="D15" s="110"/>
      <c r="E15" s="110"/>
      <c r="F15" s="110"/>
      <c r="G15" s="110"/>
      <c r="H15" s="110"/>
      <c r="I15" s="110"/>
    </row>
    <row r="16" spans="1:9" ht="12.75">
      <c r="A16" s="110"/>
      <c r="B16" s="110"/>
      <c r="C16" s="110"/>
      <c r="D16" s="110"/>
      <c r="E16" s="110"/>
      <c r="F16" s="110"/>
      <c r="G16" s="110"/>
      <c r="H16" s="110"/>
      <c r="I16" s="110"/>
    </row>
    <row r="17" spans="1:9" ht="12.75">
      <c r="A17" s="110"/>
      <c r="B17" s="110"/>
      <c r="C17" s="110"/>
      <c r="D17" s="110"/>
      <c r="E17" s="110"/>
      <c r="F17" s="110"/>
      <c r="G17" s="110"/>
      <c r="H17" s="110"/>
      <c r="I17" s="110"/>
    </row>
    <row r="18" spans="1:9" ht="12.75">
      <c r="A18" s="170" t="s">
        <v>0</v>
      </c>
      <c r="B18" s="170" t="s">
        <v>1</v>
      </c>
      <c r="C18" s="170" t="s">
        <v>2</v>
      </c>
      <c r="D18" s="171" t="s">
        <v>3</v>
      </c>
      <c r="E18" s="172"/>
      <c r="F18" s="153" t="s">
        <v>139</v>
      </c>
      <c r="G18" s="153" t="s">
        <v>140</v>
      </c>
      <c r="H18" s="155" t="s">
        <v>141</v>
      </c>
      <c r="I18" s="155" t="s">
        <v>142</v>
      </c>
    </row>
    <row r="19" spans="1:9" ht="38.25">
      <c r="A19" s="170"/>
      <c r="B19" s="170"/>
      <c r="C19" s="170"/>
      <c r="D19" s="50" t="s">
        <v>4</v>
      </c>
      <c r="E19" s="30" t="s">
        <v>5</v>
      </c>
      <c r="F19" s="154"/>
      <c r="G19" s="154"/>
      <c r="H19" s="156"/>
      <c r="I19" s="156"/>
    </row>
    <row r="20" spans="1:9" ht="12.75">
      <c r="A20" s="51" t="s">
        <v>6</v>
      </c>
      <c r="B20" s="51"/>
      <c r="C20" s="39"/>
      <c r="D20" s="52"/>
      <c r="E20" s="31"/>
      <c r="F20" s="36"/>
      <c r="G20" s="36"/>
      <c r="H20" s="37"/>
      <c r="I20" s="37"/>
    </row>
    <row r="21" spans="1:9" ht="12.75">
      <c r="A21" s="53" t="s">
        <v>7</v>
      </c>
      <c r="B21" s="164" t="s">
        <v>8</v>
      </c>
      <c r="C21" s="164"/>
      <c r="D21" s="164"/>
      <c r="E21" s="165"/>
      <c r="F21" s="36"/>
      <c r="G21" s="36"/>
      <c r="H21" s="37"/>
      <c r="I21" s="37"/>
    </row>
    <row r="22" spans="1:11" ht="12.75">
      <c r="A22" s="20" t="s">
        <v>9</v>
      </c>
      <c r="B22" s="20" t="s">
        <v>10</v>
      </c>
      <c r="C22" s="22" t="s">
        <v>11</v>
      </c>
      <c r="D22" s="18">
        <v>2.6</v>
      </c>
      <c r="E22" s="32">
        <f>D22*0.7</f>
        <v>1.8199999999999998</v>
      </c>
      <c r="F22" s="36"/>
      <c r="G22" s="36">
        <f>E22/2</f>
        <v>0.9099999999999999</v>
      </c>
      <c r="H22" s="36">
        <f>E22-G22</f>
        <v>0.9099999999999999</v>
      </c>
      <c r="I22" s="37"/>
      <c r="J22"/>
      <c r="K22"/>
    </row>
    <row r="23" spans="1:11" ht="12.75">
      <c r="A23" s="20" t="s">
        <v>12</v>
      </c>
      <c r="B23" s="21" t="s">
        <v>13</v>
      </c>
      <c r="C23" s="22" t="s">
        <v>14</v>
      </c>
      <c r="D23" s="18"/>
      <c r="E23" s="32"/>
      <c r="F23" s="36"/>
      <c r="G23" s="36"/>
      <c r="H23" s="36"/>
      <c r="I23" s="37"/>
      <c r="J23"/>
      <c r="K23"/>
    </row>
    <row r="24" spans="1:9" ht="12.75">
      <c r="A24" s="20" t="s">
        <v>15</v>
      </c>
      <c r="B24" s="21" t="s">
        <v>16</v>
      </c>
      <c r="C24" s="22" t="s">
        <v>14</v>
      </c>
      <c r="D24" s="18">
        <f>4.19*2</f>
        <v>8.38</v>
      </c>
      <c r="E24" s="32">
        <f>D24*0.4</f>
        <v>3.3520000000000003</v>
      </c>
      <c r="F24" s="36"/>
      <c r="G24" s="36">
        <f>E24/2</f>
        <v>1.6760000000000002</v>
      </c>
      <c r="H24" s="36">
        <f>E24-G24</f>
        <v>1.6760000000000002</v>
      </c>
      <c r="I24" s="37"/>
    </row>
    <row r="25" spans="1:11" ht="25.5">
      <c r="A25" s="20" t="s">
        <v>17</v>
      </c>
      <c r="B25" s="21" t="s">
        <v>18</v>
      </c>
      <c r="C25" s="22" t="s">
        <v>14</v>
      </c>
      <c r="D25" s="18">
        <f>4.19*2</f>
        <v>8.38</v>
      </c>
      <c r="E25" s="32">
        <f>D25*0.4</f>
        <v>3.3520000000000003</v>
      </c>
      <c r="F25" s="36"/>
      <c r="G25" s="36">
        <f>E25/2</f>
        <v>1.6760000000000002</v>
      </c>
      <c r="H25" s="36">
        <f>E25-G25</f>
        <v>1.6760000000000002</v>
      </c>
      <c r="I25" s="37"/>
      <c r="J25"/>
      <c r="K25"/>
    </row>
    <row r="26" spans="1:11" ht="25.5">
      <c r="A26" s="20" t="s">
        <v>19</v>
      </c>
      <c r="B26" s="21" t="s">
        <v>20</v>
      </c>
      <c r="C26" s="22" t="s">
        <v>14</v>
      </c>
      <c r="D26" s="18">
        <f>4.19*2</f>
        <v>8.38</v>
      </c>
      <c r="E26" s="32">
        <f>D26*0.3</f>
        <v>2.5140000000000002</v>
      </c>
      <c r="F26" s="36"/>
      <c r="G26" s="36">
        <f>E26/2</f>
        <v>1.2570000000000001</v>
      </c>
      <c r="H26" s="36">
        <f>E26-G26</f>
        <v>1.2570000000000001</v>
      </c>
      <c r="I26" s="37"/>
      <c r="J26"/>
      <c r="K26"/>
    </row>
    <row r="27" spans="1:11" ht="12.75">
      <c r="A27" s="20" t="s">
        <v>21</v>
      </c>
      <c r="B27" s="21" t="s">
        <v>22</v>
      </c>
      <c r="C27" s="22" t="s">
        <v>14</v>
      </c>
      <c r="D27" s="18">
        <f>4.19*2</f>
        <v>8.38</v>
      </c>
      <c r="E27" s="32">
        <f>D27*0.4</f>
        <v>3.3520000000000003</v>
      </c>
      <c r="F27" s="36"/>
      <c r="G27" s="36">
        <f>E27/2</f>
        <v>1.6760000000000002</v>
      </c>
      <c r="H27" s="36">
        <f>E27-G27</f>
        <v>1.6760000000000002</v>
      </c>
      <c r="I27" s="37"/>
      <c r="J27"/>
      <c r="K27"/>
    </row>
    <row r="28" spans="1:11" ht="12.75">
      <c r="A28" s="20" t="s">
        <v>23</v>
      </c>
      <c r="B28" s="20" t="s">
        <v>24</v>
      </c>
      <c r="C28" s="22" t="s">
        <v>25</v>
      </c>
      <c r="D28" s="18"/>
      <c r="E28" s="32"/>
      <c r="F28" s="36"/>
      <c r="G28" s="36"/>
      <c r="H28" s="37"/>
      <c r="I28" s="37"/>
      <c r="J28"/>
      <c r="K28"/>
    </row>
    <row r="29" spans="1:11" ht="25.5">
      <c r="A29" s="20" t="s">
        <v>26</v>
      </c>
      <c r="B29" s="21" t="s">
        <v>27</v>
      </c>
      <c r="C29" s="22" t="s">
        <v>25</v>
      </c>
      <c r="D29" s="18"/>
      <c r="E29" s="32"/>
      <c r="F29" s="36"/>
      <c r="G29" s="36"/>
      <c r="H29" s="37"/>
      <c r="I29" s="37"/>
      <c r="J29"/>
      <c r="K29"/>
    </row>
    <row r="30" spans="1:11" ht="25.5">
      <c r="A30" s="20" t="s">
        <v>28</v>
      </c>
      <c r="B30" s="21" t="s">
        <v>29</v>
      </c>
      <c r="C30" s="22" t="s">
        <v>30</v>
      </c>
      <c r="D30" s="18"/>
      <c r="E30" s="32"/>
      <c r="F30" s="36"/>
      <c r="G30" s="36"/>
      <c r="H30" s="37"/>
      <c r="I30" s="37"/>
      <c r="J30"/>
      <c r="K30"/>
    </row>
    <row r="31" spans="1:11" ht="12.75">
      <c r="A31" s="20" t="s">
        <v>31</v>
      </c>
      <c r="B31" s="137" t="s">
        <v>32</v>
      </c>
      <c r="C31" s="138"/>
      <c r="D31" s="138"/>
      <c r="E31" s="26"/>
      <c r="F31" s="36"/>
      <c r="G31" s="36"/>
      <c r="H31" s="37"/>
      <c r="I31" s="37"/>
      <c r="J31"/>
      <c r="K31"/>
    </row>
    <row r="32" spans="1:11" ht="12.75">
      <c r="A32" s="20" t="s">
        <v>33</v>
      </c>
      <c r="B32" s="21" t="s">
        <v>34</v>
      </c>
      <c r="C32" s="54" t="s">
        <v>35</v>
      </c>
      <c r="D32" s="18"/>
      <c r="E32" s="32"/>
      <c r="F32" s="36"/>
      <c r="G32" s="36"/>
      <c r="H32" s="37"/>
      <c r="I32" s="37"/>
      <c r="J32"/>
      <c r="K32"/>
    </row>
    <row r="33" spans="1:11" ht="12.75">
      <c r="A33" s="20" t="s">
        <v>36</v>
      </c>
      <c r="B33" s="20" t="s">
        <v>37</v>
      </c>
      <c r="C33" s="54" t="s">
        <v>38</v>
      </c>
      <c r="D33" s="18"/>
      <c r="E33" s="32"/>
      <c r="F33" s="36"/>
      <c r="G33" s="36"/>
      <c r="H33" s="37"/>
      <c r="I33" s="37"/>
      <c r="J33"/>
      <c r="K33"/>
    </row>
    <row r="34" spans="1:11" ht="12.75">
      <c r="A34" s="20" t="s">
        <v>39</v>
      </c>
      <c r="B34" s="137" t="s">
        <v>32</v>
      </c>
      <c r="C34" s="138"/>
      <c r="D34" s="138"/>
      <c r="E34" s="26"/>
      <c r="F34" s="36"/>
      <c r="G34" s="36"/>
      <c r="H34" s="37"/>
      <c r="I34" s="37"/>
      <c r="J34"/>
      <c r="K34"/>
    </row>
    <row r="35" spans="1:11" ht="12.75">
      <c r="A35" s="20" t="s">
        <v>40</v>
      </c>
      <c r="B35" s="46" t="s">
        <v>138</v>
      </c>
      <c r="C35" s="54" t="s">
        <v>38</v>
      </c>
      <c r="D35" s="18">
        <v>0</v>
      </c>
      <c r="E35" s="32">
        <f>D35*0.1</f>
        <v>0</v>
      </c>
      <c r="F35" s="36"/>
      <c r="G35" s="36"/>
      <c r="H35" s="37"/>
      <c r="I35" s="37"/>
      <c r="J35"/>
      <c r="K35"/>
    </row>
    <row r="36" spans="1:11" ht="12.75">
      <c r="A36" s="20" t="s">
        <v>41</v>
      </c>
      <c r="B36" s="20" t="s">
        <v>42</v>
      </c>
      <c r="C36" s="54"/>
      <c r="D36" s="18"/>
      <c r="E36" s="32"/>
      <c r="F36" s="36"/>
      <c r="G36" s="36"/>
      <c r="H36" s="37"/>
      <c r="I36" s="37"/>
      <c r="J36"/>
      <c r="K36"/>
    </row>
    <row r="37" spans="1:11" ht="12.75">
      <c r="A37" s="20"/>
      <c r="B37" s="20" t="s">
        <v>43</v>
      </c>
      <c r="C37" s="54" t="s">
        <v>44</v>
      </c>
      <c r="D37" s="18">
        <v>0</v>
      </c>
      <c r="E37" s="32">
        <f>D37*0.05</f>
        <v>0</v>
      </c>
      <c r="F37" s="36"/>
      <c r="G37" s="36"/>
      <c r="H37" s="37"/>
      <c r="I37" s="37"/>
      <c r="J37"/>
      <c r="K37"/>
    </row>
    <row r="38" spans="1:11" ht="12.75">
      <c r="A38" s="20"/>
      <c r="B38" s="20" t="s">
        <v>45</v>
      </c>
      <c r="C38" s="54" t="s">
        <v>46</v>
      </c>
      <c r="D38" s="18"/>
      <c r="E38" s="32"/>
      <c r="F38" s="36"/>
      <c r="G38" s="36"/>
      <c r="H38" s="37"/>
      <c r="I38" s="37"/>
      <c r="J38"/>
      <c r="K38"/>
    </row>
    <row r="39" spans="1:11" ht="12.75">
      <c r="A39" s="20" t="s">
        <v>47</v>
      </c>
      <c r="B39" s="20" t="s">
        <v>48</v>
      </c>
      <c r="C39" s="54"/>
      <c r="D39" s="18"/>
      <c r="E39" s="32"/>
      <c r="F39" s="36"/>
      <c r="G39" s="36"/>
      <c r="H39" s="37"/>
      <c r="I39" s="37"/>
      <c r="J39"/>
      <c r="K39"/>
    </row>
    <row r="40" spans="1:11" ht="12.75">
      <c r="A40" s="20"/>
      <c r="B40" s="20" t="s">
        <v>49</v>
      </c>
      <c r="C40" s="54" t="s">
        <v>50</v>
      </c>
      <c r="D40" s="18"/>
      <c r="E40" s="32"/>
      <c r="F40" s="36"/>
      <c r="G40" s="36"/>
      <c r="H40" s="37"/>
      <c r="I40" s="37"/>
      <c r="J40"/>
      <c r="K40"/>
    </row>
    <row r="41" spans="1:11" ht="12.75">
      <c r="A41" s="20"/>
      <c r="B41" s="20" t="s">
        <v>51</v>
      </c>
      <c r="C41" s="54" t="s">
        <v>50</v>
      </c>
      <c r="D41" s="18"/>
      <c r="E41" s="32"/>
      <c r="F41" s="36"/>
      <c r="G41" s="36"/>
      <c r="H41" s="37"/>
      <c r="I41" s="37"/>
      <c r="J41"/>
      <c r="K41"/>
    </row>
    <row r="42" spans="1:11" ht="12.75">
      <c r="A42" s="20" t="s">
        <v>52</v>
      </c>
      <c r="B42" s="20" t="s">
        <v>53</v>
      </c>
      <c r="C42" s="54" t="s">
        <v>54</v>
      </c>
      <c r="D42" s="18">
        <v>1200</v>
      </c>
      <c r="E42" s="32">
        <f>D42*0.0134</f>
        <v>16.080000000000002</v>
      </c>
      <c r="F42" s="36">
        <v>16.08</v>
      </c>
      <c r="G42" s="36"/>
      <c r="H42" s="37"/>
      <c r="I42" s="37"/>
      <c r="J42"/>
      <c r="K42"/>
    </row>
    <row r="43" spans="1:11" ht="12.75">
      <c r="A43" s="20" t="s">
        <v>99</v>
      </c>
      <c r="B43" s="20" t="s">
        <v>129</v>
      </c>
      <c r="C43" s="54" t="s">
        <v>130</v>
      </c>
      <c r="D43" s="18">
        <v>5</v>
      </c>
      <c r="E43" s="32">
        <f>D43*0.7</f>
        <v>3.5</v>
      </c>
      <c r="F43" s="36">
        <v>3.5</v>
      </c>
      <c r="G43" s="36"/>
      <c r="H43" s="37"/>
      <c r="I43" s="37"/>
      <c r="J43"/>
      <c r="K43"/>
    </row>
    <row r="44" spans="1:11" ht="12.75">
      <c r="A44" s="20" t="s">
        <v>102</v>
      </c>
      <c r="B44" s="20" t="s">
        <v>131</v>
      </c>
      <c r="C44" s="54" t="s">
        <v>132</v>
      </c>
      <c r="D44" s="18">
        <v>0</v>
      </c>
      <c r="E44" s="32">
        <v>0</v>
      </c>
      <c r="F44" s="36"/>
      <c r="G44" s="36"/>
      <c r="H44" s="37"/>
      <c r="I44" s="37"/>
      <c r="J44"/>
      <c r="K44"/>
    </row>
    <row r="45" spans="1:11" ht="12.75">
      <c r="A45" s="55" t="s">
        <v>103</v>
      </c>
      <c r="B45" s="21" t="s">
        <v>133</v>
      </c>
      <c r="C45" s="22" t="s">
        <v>61</v>
      </c>
      <c r="D45" s="18">
        <v>40</v>
      </c>
      <c r="E45" s="32">
        <f>1620*4/1000</f>
        <v>6.48</v>
      </c>
      <c r="F45" s="36">
        <f>E45/4</f>
        <v>1.62</v>
      </c>
      <c r="G45" s="36">
        <v>1.62</v>
      </c>
      <c r="H45" s="37">
        <v>1.62</v>
      </c>
      <c r="I45" s="37">
        <v>1.62</v>
      </c>
      <c r="J45"/>
      <c r="K45"/>
    </row>
    <row r="46" spans="1:11" ht="12.75">
      <c r="A46" s="142" t="s">
        <v>145</v>
      </c>
      <c r="B46" s="140"/>
      <c r="C46" s="140"/>
      <c r="D46" s="141"/>
      <c r="E46" s="40">
        <f>SUM(E22:E45)</f>
        <v>40.45</v>
      </c>
      <c r="F46" s="41">
        <f>SUM(F22:F45)</f>
        <v>21.2</v>
      </c>
      <c r="G46" s="41">
        <f>SUM(G22:G45)</f>
        <v>8.815000000000001</v>
      </c>
      <c r="H46" s="42">
        <f>SUM(H22:H45)</f>
        <v>8.815000000000001</v>
      </c>
      <c r="I46" s="42">
        <f>SUM(I22:I45)</f>
        <v>1.62</v>
      </c>
      <c r="J46" s="71">
        <f>F46+G46+H46+I46</f>
        <v>40.449999999999996</v>
      </c>
      <c r="K46" s="43"/>
    </row>
    <row r="47" spans="1:9" ht="12.75">
      <c r="A47" s="147" t="s">
        <v>55</v>
      </c>
      <c r="B47" s="148"/>
      <c r="C47" s="148"/>
      <c r="D47" s="149"/>
      <c r="E47" s="39"/>
      <c r="F47" s="36"/>
      <c r="G47" s="36"/>
      <c r="H47" s="37"/>
      <c r="I47" s="37"/>
    </row>
    <row r="48" spans="1:9" ht="12.75">
      <c r="A48" s="53" t="s">
        <v>7</v>
      </c>
      <c r="B48" s="56" t="s">
        <v>8</v>
      </c>
      <c r="C48" s="20"/>
      <c r="D48" s="18"/>
      <c r="E48" s="32"/>
      <c r="F48" s="36"/>
      <c r="G48" s="36"/>
      <c r="H48" s="37"/>
      <c r="I48" s="37"/>
    </row>
    <row r="49" spans="1:9" ht="12.75">
      <c r="A49" s="20" t="s">
        <v>9</v>
      </c>
      <c r="B49" s="20" t="s">
        <v>56</v>
      </c>
      <c r="C49" s="20"/>
      <c r="D49" s="18"/>
      <c r="E49" s="32"/>
      <c r="F49" s="36"/>
      <c r="G49" s="36"/>
      <c r="H49" s="37"/>
      <c r="I49" s="37"/>
    </row>
    <row r="50" spans="1:9" ht="12.75">
      <c r="A50" s="20"/>
      <c r="B50" s="20" t="s">
        <v>57</v>
      </c>
      <c r="C50" s="22" t="s">
        <v>14</v>
      </c>
      <c r="D50" s="18">
        <v>2.2</v>
      </c>
      <c r="E50" s="32">
        <f>D50*1.1</f>
        <v>2.4200000000000004</v>
      </c>
      <c r="F50" s="36">
        <f>E50/4</f>
        <v>0.6050000000000001</v>
      </c>
      <c r="G50" s="36">
        <v>0.61</v>
      </c>
      <c r="H50" s="37">
        <v>0.61</v>
      </c>
      <c r="I50" s="36">
        <f>E50-F50-G50-H50</f>
        <v>0.5950000000000005</v>
      </c>
    </row>
    <row r="51" spans="1:9" ht="25.5">
      <c r="A51" s="20"/>
      <c r="B51" s="20" t="s">
        <v>58</v>
      </c>
      <c r="C51" s="22" t="s">
        <v>59</v>
      </c>
      <c r="D51" s="18">
        <v>1.1</v>
      </c>
      <c r="E51" s="32">
        <f>D51*0.4</f>
        <v>0.44000000000000006</v>
      </c>
      <c r="F51" s="36">
        <f>E51/4</f>
        <v>0.11000000000000001</v>
      </c>
      <c r="G51" s="36">
        <v>0.11</v>
      </c>
      <c r="H51" s="37">
        <v>0.11</v>
      </c>
      <c r="I51" s="36">
        <f>E51-F51-G51-H51</f>
        <v>0.11000000000000008</v>
      </c>
    </row>
    <row r="52" spans="1:9" ht="12.75">
      <c r="A52" s="20" t="s">
        <v>12</v>
      </c>
      <c r="B52" s="21" t="s">
        <v>60</v>
      </c>
      <c r="C52" s="22" t="s">
        <v>61</v>
      </c>
      <c r="D52" s="18">
        <v>40</v>
      </c>
      <c r="E52" s="32">
        <f>0.1*D52</f>
        <v>4</v>
      </c>
      <c r="F52" s="36">
        <f>E52/4</f>
        <v>1</v>
      </c>
      <c r="G52" s="36">
        <v>1</v>
      </c>
      <c r="H52" s="37">
        <v>1</v>
      </c>
      <c r="I52" s="36">
        <f>E52-F52-G52-H52</f>
        <v>1</v>
      </c>
    </row>
    <row r="53" spans="1:9" ht="25.5">
      <c r="A53" s="20" t="s">
        <v>15</v>
      </c>
      <c r="B53" s="21" t="s">
        <v>62</v>
      </c>
      <c r="C53" s="22"/>
      <c r="D53" s="18"/>
      <c r="E53" s="32"/>
      <c r="F53" s="36"/>
      <c r="G53" s="36"/>
      <c r="H53" s="37"/>
      <c r="I53" s="36"/>
    </row>
    <row r="54" spans="1:11" ht="12.75">
      <c r="A54" s="20"/>
      <c r="B54" s="20" t="s">
        <v>57</v>
      </c>
      <c r="C54" s="22" t="s">
        <v>14</v>
      </c>
      <c r="D54" s="18">
        <v>0</v>
      </c>
      <c r="E54" s="32">
        <f>D54*0.9</f>
        <v>0</v>
      </c>
      <c r="F54" s="36"/>
      <c r="G54" s="36"/>
      <c r="H54" s="37"/>
      <c r="I54" s="36"/>
      <c r="J54"/>
      <c r="K54"/>
    </row>
    <row r="55" spans="1:9" ht="12.75">
      <c r="A55" s="20"/>
      <c r="B55" s="20" t="s">
        <v>63</v>
      </c>
      <c r="C55" s="22" t="s">
        <v>136</v>
      </c>
      <c r="D55" s="18">
        <v>0</v>
      </c>
      <c r="E55" s="32">
        <f>D55*0.01</f>
        <v>0</v>
      </c>
      <c r="F55" s="36"/>
      <c r="G55" s="36"/>
      <c r="H55" s="37"/>
      <c r="I55" s="36"/>
    </row>
    <row r="56" spans="1:9" ht="12.75">
      <c r="A56" s="20"/>
      <c r="B56" s="57" t="s">
        <v>158</v>
      </c>
      <c r="C56" s="22" t="s">
        <v>64</v>
      </c>
      <c r="D56" s="18"/>
      <c r="E56" s="32"/>
      <c r="F56" s="36"/>
      <c r="G56" s="36"/>
      <c r="H56" s="37"/>
      <c r="I56" s="37"/>
    </row>
    <row r="57" spans="1:9" ht="12.75">
      <c r="A57" s="20" t="s">
        <v>17</v>
      </c>
      <c r="B57" s="20" t="s">
        <v>65</v>
      </c>
      <c r="C57" s="22" t="s">
        <v>66</v>
      </c>
      <c r="D57" s="18">
        <v>0</v>
      </c>
      <c r="E57" s="32">
        <f>D57*0.025</f>
        <v>0</v>
      </c>
      <c r="F57" s="36"/>
      <c r="G57" s="36"/>
      <c r="H57" s="37"/>
      <c r="I57" s="37"/>
    </row>
    <row r="58" spans="1:9" ht="12.75">
      <c r="A58" s="20" t="s">
        <v>19</v>
      </c>
      <c r="B58" s="20" t="s">
        <v>67</v>
      </c>
      <c r="C58" s="22" t="s">
        <v>68</v>
      </c>
      <c r="D58" s="18">
        <v>10</v>
      </c>
      <c r="E58" s="32">
        <f>D58*0.04</f>
        <v>0.4</v>
      </c>
      <c r="F58" s="36">
        <v>0.1</v>
      </c>
      <c r="G58" s="36">
        <v>0.1</v>
      </c>
      <c r="H58" s="37">
        <v>0.1</v>
      </c>
      <c r="I58" s="37">
        <v>0.1</v>
      </c>
    </row>
    <row r="59" spans="1:9" ht="12.75">
      <c r="A59" s="20" t="s">
        <v>21</v>
      </c>
      <c r="B59" s="20" t="s">
        <v>69</v>
      </c>
      <c r="C59" s="22" t="s">
        <v>87</v>
      </c>
      <c r="D59" s="18">
        <v>100</v>
      </c>
      <c r="E59" s="32">
        <f>D59*0.068</f>
        <v>6.800000000000001</v>
      </c>
      <c r="F59" s="36">
        <f>E59/4</f>
        <v>1.7000000000000002</v>
      </c>
      <c r="G59" s="36">
        <v>2.12</v>
      </c>
      <c r="H59" s="37">
        <v>2.12</v>
      </c>
      <c r="I59" s="36">
        <v>2.12</v>
      </c>
    </row>
    <row r="60" spans="1:9" ht="12.75">
      <c r="A60" s="46" t="s">
        <v>23</v>
      </c>
      <c r="B60" s="21" t="s">
        <v>71</v>
      </c>
      <c r="C60" s="22" t="s">
        <v>72</v>
      </c>
      <c r="D60" s="18">
        <v>10</v>
      </c>
      <c r="E60" s="32">
        <f>D60*0.05</f>
        <v>0.5</v>
      </c>
      <c r="F60" s="36"/>
      <c r="G60" s="36">
        <v>0.25</v>
      </c>
      <c r="H60" s="37">
        <v>0.25</v>
      </c>
      <c r="I60" s="37"/>
    </row>
    <row r="61" spans="1:9" ht="12.75">
      <c r="A61" s="20" t="s">
        <v>73</v>
      </c>
      <c r="B61" s="20" t="s">
        <v>74</v>
      </c>
      <c r="C61" s="22" t="s">
        <v>75</v>
      </c>
      <c r="D61" s="18">
        <v>0</v>
      </c>
      <c r="E61" s="32">
        <f>D61*0.1</f>
        <v>0</v>
      </c>
      <c r="F61" s="36"/>
      <c r="G61" s="36"/>
      <c r="H61" s="37"/>
      <c r="I61" s="37"/>
    </row>
    <row r="62" spans="1:9" ht="25.5">
      <c r="A62" s="20" t="s">
        <v>26</v>
      </c>
      <c r="B62" s="21" t="s">
        <v>77</v>
      </c>
      <c r="C62" s="22" t="s">
        <v>68</v>
      </c>
      <c r="D62" s="18">
        <v>0</v>
      </c>
      <c r="E62" s="32">
        <f>D62*0.032</f>
        <v>0</v>
      </c>
      <c r="F62" s="36"/>
      <c r="G62" s="36"/>
      <c r="H62" s="37"/>
      <c r="I62" s="36"/>
    </row>
    <row r="63" spans="1:9" ht="25.5">
      <c r="A63" s="20" t="s">
        <v>28</v>
      </c>
      <c r="B63" s="21" t="s">
        <v>79</v>
      </c>
      <c r="C63" s="22" t="s">
        <v>80</v>
      </c>
      <c r="D63" s="18"/>
      <c r="E63" s="32"/>
      <c r="F63" s="36"/>
      <c r="G63" s="36"/>
      <c r="H63" s="37"/>
      <c r="I63" s="37"/>
    </row>
    <row r="64" spans="1:9" ht="12.75">
      <c r="A64" s="20" t="s">
        <v>70</v>
      </c>
      <c r="B64" s="21" t="s">
        <v>82</v>
      </c>
      <c r="C64" s="22" t="s">
        <v>83</v>
      </c>
      <c r="D64" s="18">
        <v>50</v>
      </c>
      <c r="E64" s="32">
        <f>D64*0.02</f>
        <v>1</v>
      </c>
      <c r="F64" s="36">
        <v>0.25</v>
      </c>
      <c r="G64" s="36">
        <v>0.25</v>
      </c>
      <c r="H64" s="37">
        <v>0.25</v>
      </c>
      <c r="I64" s="37">
        <v>0.25</v>
      </c>
    </row>
    <row r="65" spans="1:9" ht="12.75">
      <c r="A65" s="20" t="s">
        <v>73</v>
      </c>
      <c r="B65" s="21" t="s">
        <v>154</v>
      </c>
      <c r="C65" s="22" t="s">
        <v>144</v>
      </c>
      <c r="D65" s="18">
        <v>0</v>
      </c>
      <c r="E65" s="32">
        <f>D65*0.128</f>
        <v>0</v>
      </c>
      <c r="F65" s="36"/>
      <c r="G65" s="36"/>
      <c r="H65" s="37"/>
      <c r="I65" s="36"/>
    </row>
    <row r="66" spans="1:9" ht="12.75">
      <c r="A66" s="20" t="s">
        <v>76</v>
      </c>
      <c r="B66" s="21" t="s">
        <v>155</v>
      </c>
      <c r="C66" s="22" t="s">
        <v>144</v>
      </c>
      <c r="D66" s="18">
        <v>0</v>
      </c>
      <c r="E66" s="32">
        <f>D66*0.152</f>
        <v>0</v>
      </c>
      <c r="F66" s="36"/>
      <c r="G66" s="36"/>
      <c r="H66" s="37"/>
      <c r="I66" s="36"/>
    </row>
    <row r="67" spans="1:9" ht="12.75">
      <c r="A67" s="46" t="s">
        <v>78</v>
      </c>
      <c r="B67" s="21" t="s">
        <v>84</v>
      </c>
      <c r="C67" s="22" t="s">
        <v>85</v>
      </c>
      <c r="D67" s="18">
        <v>0</v>
      </c>
      <c r="E67" s="32">
        <f>D67*0.1</f>
        <v>0</v>
      </c>
      <c r="F67" s="36"/>
      <c r="G67" s="36"/>
      <c r="H67" s="37"/>
      <c r="I67" s="36"/>
    </row>
    <row r="68" spans="1:9" ht="12.75">
      <c r="A68" s="46" t="s">
        <v>81</v>
      </c>
      <c r="B68" s="21" t="s">
        <v>86</v>
      </c>
      <c r="C68" s="22" t="s">
        <v>87</v>
      </c>
      <c r="D68" s="18">
        <v>0</v>
      </c>
      <c r="E68" s="32">
        <f>D68*0.03</f>
        <v>0</v>
      </c>
      <c r="F68" s="36"/>
      <c r="G68" s="36"/>
      <c r="H68" s="37"/>
      <c r="I68" s="37"/>
    </row>
    <row r="69" spans="1:9" ht="12.75">
      <c r="A69" s="46" t="s">
        <v>156</v>
      </c>
      <c r="B69" s="21" t="s">
        <v>88</v>
      </c>
      <c r="C69" s="22" t="s">
        <v>89</v>
      </c>
      <c r="D69" s="18">
        <v>0</v>
      </c>
      <c r="E69" s="32">
        <f>D69*0.02</f>
        <v>0</v>
      </c>
      <c r="F69" s="36"/>
      <c r="G69" s="36"/>
      <c r="H69" s="37"/>
      <c r="I69" s="37"/>
    </row>
    <row r="70" spans="1:9" ht="12.75">
      <c r="A70" s="46" t="s">
        <v>157</v>
      </c>
      <c r="B70" s="37" t="s">
        <v>143</v>
      </c>
      <c r="C70" s="37" t="s">
        <v>144</v>
      </c>
      <c r="D70" s="37">
        <v>0</v>
      </c>
      <c r="E70" s="37">
        <f>D70*0.15</f>
        <v>0</v>
      </c>
      <c r="F70" s="37"/>
      <c r="G70" s="37"/>
      <c r="H70" s="37"/>
      <c r="I70" s="37"/>
    </row>
    <row r="71" spans="1:9" ht="12.75">
      <c r="A71" s="20" t="s">
        <v>31</v>
      </c>
      <c r="B71" s="137" t="s">
        <v>32</v>
      </c>
      <c r="C71" s="138"/>
      <c r="D71" s="138"/>
      <c r="E71" s="26"/>
      <c r="F71" s="36"/>
      <c r="G71" s="36"/>
      <c r="H71" s="37"/>
      <c r="I71" s="37"/>
    </row>
    <row r="72" spans="1:9" ht="12.75">
      <c r="A72" s="20" t="s">
        <v>33</v>
      </c>
      <c r="B72" s="21" t="s">
        <v>90</v>
      </c>
      <c r="C72" s="22" t="s">
        <v>91</v>
      </c>
      <c r="D72" s="18">
        <v>29.62</v>
      </c>
      <c r="E72" s="32">
        <f>D72*0.2+0.06</f>
        <v>5.984</v>
      </c>
      <c r="F72" s="36"/>
      <c r="G72" s="36">
        <v>5.92</v>
      </c>
      <c r="H72" s="37"/>
      <c r="I72" s="37"/>
    </row>
    <row r="73" spans="1:9" ht="12.75">
      <c r="A73" s="20" t="s">
        <v>39</v>
      </c>
      <c r="B73" s="137" t="s">
        <v>32</v>
      </c>
      <c r="C73" s="138"/>
      <c r="D73" s="138"/>
      <c r="E73" s="26"/>
      <c r="F73" s="36"/>
      <c r="G73" s="36"/>
      <c r="H73" s="37"/>
      <c r="I73" s="37"/>
    </row>
    <row r="74" spans="1:9" ht="15.75" customHeight="1">
      <c r="A74" s="20" t="s">
        <v>40</v>
      </c>
      <c r="B74" s="21" t="s">
        <v>92</v>
      </c>
      <c r="C74" s="22" t="s">
        <v>93</v>
      </c>
      <c r="D74" s="18">
        <v>0</v>
      </c>
      <c r="E74" s="32">
        <f>D74*0.3</f>
        <v>0</v>
      </c>
      <c r="F74" s="36"/>
      <c r="G74" s="36"/>
      <c r="H74" s="37"/>
      <c r="I74" s="37"/>
    </row>
    <row r="75" spans="1:9" ht="12.75">
      <c r="A75" s="20" t="s">
        <v>41</v>
      </c>
      <c r="B75" s="21" t="s">
        <v>94</v>
      </c>
      <c r="C75" s="22" t="s">
        <v>95</v>
      </c>
      <c r="D75" s="18"/>
      <c r="E75" s="32"/>
      <c r="F75" s="36"/>
      <c r="G75" s="36"/>
      <c r="H75" s="37"/>
      <c r="I75" s="37"/>
    </row>
    <row r="76" spans="1:9" ht="14.25" customHeight="1">
      <c r="A76" s="20" t="s">
        <v>47</v>
      </c>
      <c r="B76" s="21" t="s">
        <v>96</v>
      </c>
      <c r="C76" s="22" t="s">
        <v>97</v>
      </c>
      <c r="D76" s="18">
        <v>298.24</v>
      </c>
      <c r="E76" s="32">
        <v>29.22</v>
      </c>
      <c r="F76" s="36"/>
      <c r="G76" s="36">
        <v>29.22</v>
      </c>
      <c r="H76" s="37"/>
      <c r="I76" s="37"/>
    </row>
    <row r="77" spans="1:9" ht="12.75">
      <c r="A77" s="20" t="s">
        <v>52</v>
      </c>
      <c r="B77" s="21" t="s">
        <v>98</v>
      </c>
      <c r="C77" s="22" t="s">
        <v>91</v>
      </c>
      <c r="D77" s="18">
        <v>29.62</v>
      </c>
      <c r="E77" s="32">
        <f>D77*0.874</f>
        <v>25.88788</v>
      </c>
      <c r="F77" s="36"/>
      <c r="G77" s="36">
        <v>25.89</v>
      </c>
      <c r="H77" s="37"/>
      <c r="I77" s="37"/>
    </row>
    <row r="78" spans="1:9" ht="12.75">
      <c r="A78" s="20" t="s">
        <v>99</v>
      </c>
      <c r="B78" s="21" t="s">
        <v>100</v>
      </c>
      <c r="C78" s="22" t="s">
        <v>101</v>
      </c>
      <c r="D78" s="18">
        <v>80</v>
      </c>
      <c r="E78" s="32">
        <f>D78*0.1</f>
        <v>8</v>
      </c>
      <c r="F78" s="36">
        <v>2</v>
      </c>
      <c r="G78" s="36"/>
      <c r="H78" s="37">
        <v>3</v>
      </c>
      <c r="I78" s="37">
        <v>3</v>
      </c>
    </row>
    <row r="79" spans="1:9" ht="12.75">
      <c r="A79" s="20" t="s">
        <v>102</v>
      </c>
      <c r="B79" s="21" t="s">
        <v>134</v>
      </c>
      <c r="C79" s="22" t="s">
        <v>130</v>
      </c>
      <c r="D79" s="18">
        <v>0</v>
      </c>
      <c r="E79" s="32">
        <f>D79*0.85</f>
        <v>0</v>
      </c>
      <c r="F79" s="36"/>
      <c r="G79" s="36"/>
      <c r="H79" s="37"/>
      <c r="I79" s="36"/>
    </row>
    <row r="80" spans="1:9" ht="12.75">
      <c r="A80" s="20" t="s">
        <v>103</v>
      </c>
      <c r="B80" s="57" t="s">
        <v>135</v>
      </c>
      <c r="C80" s="58" t="s">
        <v>130</v>
      </c>
      <c r="D80" s="18">
        <v>0</v>
      </c>
      <c r="E80" s="32">
        <v>0</v>
      </c>
      <c r="F80" s="36"/>
      <c r="G80" s="36"/>
      <c r="H80" s="37"/>
      <c r="I80" s="37"/>
    </row>
    <row r="81" spans="1:11" ht="12.75">
      <c r="A81" s="142" t="s">
        <v>146</v>
      </c>
      <c r="B81" s="140"/>
      <c r="C81" s="140"/>
      <c r="D81" s="141"/>
      <c r="E81" s="40">
        <f>SUM(E50:E80)</f>
        <v>84.65188</v>
      </c>
      <c r="F81" s="41">
        <f>SUM(F49:F80)</f>
        <v>5.765000000000001</v>
      </c>
      <c r="G81" s="41">
        <f>SUM(G49:G80)</f>
        <v>65.47</v>
      </c>
      <c r="H81" s="42">
        <f>SUM(H49:H80)</f>
        <v>7.44</v>
      </c>
      <c r="I81" s="42">
        <f>SUM(I49:I80)</f>
        <v>7.175000000000001</v>
      </c>
      <c r="J81" s="72">
        <f>F81+G81+H81+I81</f>
        <v>85.85</v>
      </c>
      <c r="K81" s="68"/>
    </row>
    <row r="82" spans="1:9" ht="12.75">
      <c r="A82" s="51" t="s">
        <v>104</v>
      </c>
      <c r="B82" s="39"/>
      <c r="C82" s="39"/>
      <c r="D82" s="39"/>
      <c r="E82" s="33"/>
      <c r="F82" s="36"/>
      <c r="G82" s="36"/>
      <c r="H82" s="37"/>
      <c r="I82" s="37"/>
    </row>
    <row r="83" spans="1:9" ht="12.75">
      <c r="A83" s="53" t="s">
        <v>7</v>
      </c>
      <c r="B83" s="56" t="s">
        <v>105</v>
      </c>
      <c r="C83" s="22"/>
      <c r="D83" s="18"/>
      <c r="E83" s="32"/>
      <c r="F83" s="36"/>
      <c r="G83" s="36"/>
      <c r="H83" s="37"/>
      <c r="I83" s="37"/>
    </row>
    <row r="84" spans="1:9" ht="12.75">
      <c r="A84" s="20" t="s">
        <v>9</v>
      </c>
      <c r="B84" s="20" t="s">
        <v>106</v>
      </c>
      <c r="C84" s="22" t="s">
        <v>107</v>
      </c>
      <c r="D84" s="18">
        <f>2242+570</f>
        <v>2812</v>
      </c>
      <c r="E84" s="32">
        <v>78.5</v>
      </c>
      <c r="F84" s="36">
        <f>E84/4</f>
        <v>19.625</v>
      </c>
      <c r="G84" s="36">
        <v>19.63</v>
      </c>
      <c r="H84" s="37">
        <v>19.63</v>
      </c>
      <c r="I84" s="37">
        <v>19.63</v>
      </c>
    </row>
    <row r="85" spans="1:9" ht="12.75">
      <c r="A85" s="20" t="s">
        <v>12</v>
      </c>
      <c r="B85" s="21" t="s">
        <v>108</v>
      </c>
      <c r="C85" s="22" t="s">
        <v>109</v>
      </c>
      <c r="D85" s="18"/>
      <c r="E85" s="32"/>
      <c r="F85" s="36"/>
      <c r="G85" s="36"/>
      <c r="H85" s="37"/>
      <c r="I85" s="37"/>
    </row>
    <row r="86" spans="1:9" ht="12.75">
      <c r="A86" s="20" t="s">
        <v>15</v>
      </c>
      <c r="B86" s="21" t="s">
        <v>110</v>
      </c>
      <c r="C86" s="22" t="s">
        <v>107</v>
      </c>
      <c r="D86" s="18">
        <v>500</v>
      </c>
      <c r="E86" s="32">
        <v>2</v>
      </c>
      <c r="F86" s="36"/>
      <c r="G86" s="36">
        <v>2</v>
      </c>
      <c r="H86" s="37"/>
      <c r="I86" s="37"/>
    </row>
    <row r="87" spans="1:9" ht="12.75">
      <c r="A87" s="20" t="s">
        <v>31</v>
      </c>
      <c r="B87" s="56" t="s">
        <v>111</v>
      </c>
      <c r="C87" s="22"/>
      <c r="D87" s="18"/>
      <c r="E87" s="32"/>
      <c r="F87" s="36"/>
      <c r="G87" s="36"/>
      <c r="H87" s="37"/>
      <c r="I87" s="37"/>
    </row>
    <row r="88" spans="1:9" ht="25.5">
      <c r="A88" s="20"/>
      <c r="B88" s="21" t="s">
        <v>112</v>
      </c>
      <c r="C88" s="22" t="s">
        <v>113</v>
      </c>
      <c r="D88" s="18"/>
      <c r="E88" s="32"/>
      <c r="F88" s="36"/>
      <c r="G88" s="36"/>
      <c r="H88" s="37"/>
      <c r="I88" s="37"/>
    </row>
    <row r="89" spans="1:9" ht="25.5">
      <c r="A89" s="20"/>
      <c r="B89" s="21" t="s">
        <v>114</v>
      </c>
      <c r="C89" s="22" t="s">
        <v>113</v>
      </c>
      <c r="D89" s="18"/>
      <c r="E89" s="32">
        <f>2*12</f>
        <v>24</v>
      </c>
      <c r="F89" s="36">
        <f>E89/4</f>
        <v>6</v>
      </c>
      <c r="G89" s="36">
        <v>6</v>
      </c>
      <c r="H89" s="37">
        <v>6</v>
      </c>
      <c r="I89" s="36">
        <v>6</v>
      </c>
    </row>
    <row r="90" spans="1:11" ht="12.75">
      <c r="A90" s="139" t="s">
        <v>147</v>
      </c>
      <c r="B90" s="140"/>
      <c r="C90" s="140"/>
      <c r="D90" s="141"/>
      <c r="E90" s="40">
        <f>SUM(E84:E89)</f>
        <v>104.5</v>
      </c>
      <c r="F90" s="41">
        <f>SUM(F84:F89)</f>
        <v>25.625</v>
      </c>
      <c r="G90" s="41">
        <f>SUM(G84:G89)</f>
        <v>27.63</v>
      </c>
      <c r="H90" s="42">
        <f>SUM(H84:H89)</f>
        <v>25.63</v>
      </c>
      <c r="I90" s="41">
        <f>SUM(I84:I89)</f>
        <v>25.63</v>
      </c>
      <c r="J90" s="72">
        <f>F90+G90+H90+I90</f>
        <v>104.51499999999999</v>
      </c>
      <c r="K90" s="68"/>
    </row>
    <row r="91" spans="1:9" ht="12.75">
      <c r="A91" s="136" t="s">
        <v>115</v>
      </c>
      <c r="B91" s="136"/>
      <c r="C91" s="136"/>
      <c r="D91" s="136"/>
      <c r="E91" s="34"/>
      <c r="F91" s="36"/>
      <c r="G91" s="36"/>
      <c r="H91" s="37"/>
      <c r="I91" s="37"/>
    </row>
    <row r="92" spans="1:9" ht="12.75">
      <c r="A92" s="59">
        <v>1</v>
      </c>
      <c r="B92" s="53" t="s">
        <v>126</v>
      </c>
      <c r="C92" s="60" t="s">
        <v>127</v>
      </c>
      <c r="D92" s="52">
        <v>6932</v>
      </c>
      <c r="E92" s="35">
        <f>D92*0.59*12/1000</f>
        <v>49.078559999999996</v>
      </c>
      <c r="F92" s="36">
        <f>E92/4</f>
        <v>12.269639999999999</v>
      </c>
      <c r="G92" s="36">
        <v>12.27</v>
      </c>
      <c r="H92" s="37">
        <v>12.27</v>
      </c>
      <c r="I92" s="36">
        <f>E92-F92-G92-H92</f>
        <v>12.268920000000001</v>
      </c>
    </row>
    <row r="93" spans="1:9" ht="12.75">
      <c r="A93" s="59">
        <v>2</v>
      </c>
      <c r="B93" s="53" t="s">
        <v>116</v>
      </c>
      <c r="C93" s="60" t="s">
        <v>117</v>
      </c>
      <c r="D93" s="52">
        <v>820</v>
      </c>
      <c r="E93" s="31">
        <f>D93*1.06*2/1000</f>
        <v>1.7384000000000002</v>
      </c>
      <c r="F93" s="36"/>
      <c r="G93" s="36">
        <f>E93/2</f>
        <v>0.8692000000000001</v>
      </c>
      <c r="H93" s="37">
        <v>0.87</v>
      </c>
      <c r="I93" s="37"/>
    </row>
    <row r="94" spans="1:9" ht="25.5">
      <c r="A94" s="59">
        <v>3</v>
      </c>
      <c r="B94" s="61" t="s">
        <v>128</v>
      </c>
      <c r="C94" s="60"/>
      <c r="D94" s="52"/>
      <c r="E94" s="35">
        <v>15</v>
      </c>
      <c r="F94" s="36">
        <f>E94/4</f>
        <v>3.75</v>
      </c>
      <c r="G94" s="36">
        <v>3.75</v>
      </c>
      <c r="H94" s="37">
        <v>3.75</v>
      </c>
      <c r="I94" s="36">
        <v>3.75</v>
      </c>
    </row>
    <row r="95" spans="1:10" ht="12.75">
      <c r="A95" s="59">
        <v>4</v>
      </c>
      <c r="B95" s="63" t="s">
        <v>191</v>
      </c>
      <c r="C95" s="80">
        <v>0.149</v>
      </c>
      <c r="D95" s="52"/>
      <c r="E95" s="31">
        <v>66.31</v>
      </c>
      <c r="F95" s="36">
        <f>E95/4</f>
        <v>16.5775</v>
      </c>
      <c r="G95" s="36">
        <v>15.75</v>
      </c>
      <c r="H95" s="37">
        <v>15.75</v>
      </c>
      <c r="I95" s="36">
        <f>E95-F95-G95-H95</f>
        <v>18.2325</v>
      </c>
      <c r="J95" s="23"/>
    </row>
    <row r="96" spans="1:11" ht="12.75">
      <c r="A96" s="142" t="s">
        <v>149</v>
      </c>
      <c r="B96" s="140"/>
      <c r="C96" s="140"/>
      <c r="D96" s="141"/>
      <c r="E96" s="40">
        <f>SUM(E92:E95)</f>
        <v>132.12696</v>
      </c>
      <c r="F96" s="41">
        <f>SUM(F92:F95)</f>
        <v>32.597139999999996</v>
      </c>
      <c r="G96" s="41">
        <f>SUM(G92:G95)</f>
        <v>32.6392</v>
      </c>
      <c r="H96" s="42">
        <f>SUM(H92:H95)</f>
        <v>32.64</v>
      </c>
      <c r="I96" s="42">
        <f>SUM(I92:I95)</f>
        <v>34.25142</v>
      </c>
      <c r="J96" s="72">
        <f>F96+G96+H96+I96</f>
        <v>132.12776</v>
      </c>
      <c r="K96" s="68"/>
    </row>
    <row r="97" spans="1:11" ht="12.75">
      <c r="A97" s="139" t="s">
        <v>150</v>
      </c>
      <c r="B97" s="140"/>
      <c r="C97" s="140"/>
      <c r="D97" s="141"/>
      <c r="E97" s="40">
        <f>E46+E81+E90+E96</f>
        <v>361.72884</v>
      </c>
      <c r="F97" s="41">
        <f>F46+F81+F90+F96</f>
        <v>85.18714</v>
      </c>
      <c r="G97" s="41">
        <f>G46+G81+G90+G96</f>
        <v>134.55419999999998</v>
      </c>
      <c r="H97" s="41">
        <f>H46+H81+H90+H96</f>
        <v>74.525</v>
      </c>
      <c r="I97" s="41">
        <f>I46+I81+I90+I96</f>
        <v>68.67642000000001</v>
      </c>
      <c r="J97" s="74">
        <v>361.732</v>
      </c>
      <c r="K97" s="23">
        <f>J97-E97</f>
        <v>0.003160000000036689</v>
      </c>
    </row>
    <row r="98" spans="1:9" ht="12.75">
      <c r="A98" s="121" t="s">
        <v>151</v>
      </c>
      <c r="B98" s="122"/>
      <c r="C98" s="122"/>
      <c r="D98" s="122"/>
      <c r="E98" s="123"/>
      <c r="F98" s="36"/>
      <c r="G98" s="36"/>
      <c r="H98" s="37"/>
      <c r="I98" s="37"/>
    </row>
    <row r="99" spans="1:9" ht="25.5">
      <c r="A99" s="150">
        <v>1</v>
      </c>
      <c r="B99" s="63" t="s">
        <v>182</v>
      </c>
      <c r="C99" s="94" t="s">
        <v>107</v>
      </c>
      <c r="D99" s="52">
        <v>6932</v>
      </c>
      <c r="E99" s="104">
        <f>(2.32*D99*10/1000)+(4100*3*2/1000)</f>
        <v>185.42239999999998</v>
      </c>
      <c r="F99" s="97">
        <f>E99/4</f>
        <v>46.355599999999995</v>
      </c>
      <c r="G99" s="97">
        <v>46.4</v>
      </c>
      <c r="H99" s="97">
        <v>46.4</v>
      </c>
      <c r="I99" s="97">
        <v>46.4</v>
      </c>
    </row>
    <row r="100" spans="1:9" ht="12.75">
      <c r="A100" s="151"/>
      <c r="B100" s="62" t="s">
        <v>183</v>
      </c>
      <c r="C100" s="66"/>
      <c r="D100" s="52"/>
      <c r="E100" s="104">
        <v>31.3</v>
      </c>
      <c r="F100" s="97">
        <f>E100/4</f>
        <v>7.825</v>
      </c>
      <c r="G100" s="97">
        <v>7.8</v>
      </c>
      <c r="H100" s="97">
        <v>7.8</v>
      </c>
      <c r="I100" s="97">
        <v>7.8</v>
      </c>
    </row>
    <row r="101" spans="1:10" ht="25.5">
      <c r="A101" s="152"/>
      <c r="B101" s="82" t="s">
        <v>184</v>
      </c>
      <c r="C101" s="81"/>
      <c r="D101" s="41"/>
      <c r="E101" s="99">
        <f>SUM(E99:E100)</f>
        <v>216.7224</v>
      </c>
      <c r="F101" s="100">
        <f>SUM(F99:F100)</f>
        <v>54.1806</v>
      </c>
      <c r="G101" s="100">
        <f>SUM(G99:G100)</f>
        <v>54.199999999999996</v>
      </c>
      <c r="H101" s="100">
        <f>SUM(H99:H100)</f>
        <v>54.199999999999996</v>
      </c>
      <c r="I101" s="100">
        <f>SUM(I99:I100)</f>
        <v>54.199999999999996</v>
      </c>
      <c r="J101" s="108">
        <f>F101+G101+H101+I101</f>
        <v>216.78059999999996</v>
      </c>
    </row>
    <row r="102" spans="1:9" ht="25.5">
      <c r="A102" s="150">
        <v>2</v>
      </c>
      <c r="B102" s="62" t="s">
        <v>188</v>
      </c>
      <c r="C102" s="66" t="s">
        <v>107</v>
      </c>
      <c r="D102" s="52">
        <v>6932</v>
      </c>
      <c r="E102" s="104">
        <f>D102*1.62*12/1000</f>
        <v>134.75808</v>
      </c>
      <c r="F102" s="97">
        <f>E102/4</f>
        <v>33.68952</v>
      </c>
      <c r="G102" s="97">
        <v>33.7</v>
      </c>
      <c r="H102" s="97">
        <v>33.7</v>
      </c>
      <c r="I102" s="97">
        <v>33.7</v>
      </c>
    </row>
    <row r="103" spans="1:9" ht="12.75">
      <c r="A103" s="151"/>
      <c r="B103" s="62" t="s">
        <v>183</v>
      </c>
      <c r="C103" s="66"/>
      <c r="D103" s="52"/>
      <c r="E103" s="104">
        <f>138.917-E102</f>
        <v>4.158919999999995</v>
      </c>
      <c r="F103" s="97">
        <f>E103/4</f>
        <v>1.0397299999999987</v>
      </c>
      <c r="G103" s="97">
        <v>1</v>
      </c>
      <c r="H103" s="97">
        <v>1</v>
      </c>
      <c r="I103" s="97">
        <v>1</v>
      </c>
    </row>
    <row r="104" spans="1:10" ht="12.75">
      <c r="A104" s="152"/>
      <c r="B104" s="82" t="s">
        <v>189</v>
      </c>
      <c r="C104" s="81"/>
      <c r="D104" s="41"/>
      <c r="E104" s="99">
        <f>SUM(E102:E103)</f>
        <v>138.917</v>
      </c>
      <c r="F104" s="99">
        <f>SUM(F102:F103)</f>
        <v>34.72925</v>
      </c>
      <c r="G104" s="99">
        <f>SUM(G102:G103)</f>
        <v>34.7</v>
      </c>
      <c r="H104" s="99">
        <f>SUM(H102:H103)</f>
        <v>34.7</v>
      </c>
      <c r="I104" s="99">
        <f>SUM(I102:I103)</f>
        <v>34.7</v>
      </c>
      <c r="J104" s="108">
        <f>F104+G104+H104+I104</f>
        <v>138.82925</v>
      </c>
    </row>
    <row r="105" spans="1:9" ht="25.5">
      <c r="A105" s="150">
        <v>3</v>
      </c>
      <c r="B105" s="62" t="s">
        <v>185</v>
      </c>
      <c r="C105" s="60" t="s">
        <v>107</v>
      </c>
      <c r="D105" s="52">
        <v>6932</v>
      </c>
      <c r="E105" s="104">
        <f>D105*0.45*12/1000</f>
        <v>37.4328</v>
      </c>
      <c r="F105" s="97">
        <f>E105/4</f>
        <v>9.3582</v>
      </c>
      <c r="G105" s="97">
        <v>9.4</v>
      </c>
      <c r="H105" s="97">
        <v>9.4</v>
      </c>
      <c r="I105" s="97">
        <v>9.4</v>
      </c>
    </row>
    <row r="106" spans="1:9" ht="12.75">
      <c r="A106" s="151"/>
      <c r="B106" s="63" t="s">
        <v>183</v>
      </c>
      <c r="C106" s="60"/>
      <c r="D106" s="52"/>
      <c r="E106" s="104">
        <v>6</v>
      </c>
      <c r="F106" s="97">
        <f>E106/4</f>
        <v>1.5</v>
      </c>
      <c r="G106" s="97">
        <v>1.5</v>
      </c>
      <c r="H106" s="97">
        <v>1.5</v>
      </c>
      <c r="I106" s="97">
        <v>1.5</v>
      </c>
    </row>
    <row r="107" spans="1:9" ht="25.5">
      <c r="A107" s="152"/>
      <c r="B107" s="83" t="s">
        <v>186</v>
      </c>
      <c r="C107" s="84"/>
      <c r="D107" s="41"/>
      <c r="E107" s="99">
        <f>SUM(E105:E106)</f>
        <v>43.4328</v>
      </c>
      <c r="F107" s="99">
        <f>SUM(F105:F106)</f>
        <v>10.8582</v>
      </c>
      <c r="G107" s="99">
        <f>SUM(G105:G106)</f>
        <v>10.9</v>
      </c>
      <c r="H107" s="99">
        <f>SUM(H105:H106)</f>
        <v>10.9</v>
      </c>
      <c r="I107" s="99">
        <f>SUM(I105:I106)</f>
        <v>10.9</v>
      </c>
    </row>
    <row r="108" spans="1:9" ht="12.75" customHeight="1">
      <c r="A108" s="126" t="s">
        <v>152</v>
      </c>
      <c r="B108" s="119"/>
      <c r="C108" s="119"/>
      <c r="D108" s="119"/>
      <c r="E108" s="106">
        <f>E101+E104+E107</f>
        <v>399.0722</v>
      </c>
      <c r="F108" s="105">
        <f>F101+F104+F107</f>
        <v>99.76805</v>
      </c>
      <c r="G108" s="105">
        <f>G101+G104+G107</f>
        <v>99.80000000000001</v>
      </c>
      <c r="H108" s="105">
        <f>H101+H104+H107</f>
        <v>99.80000000000001</v>
      </c>
      <c r="I108" s="105">
        <f>I101+I104+I107</f>
        <v>99.80000000000001</v>
      </c>
    </row>
    <row r="109" spans="1:10" ht="15.75">
      <c r="A109" s="145" t="s">
        <v>153</v>
      </c>
      <c r="B109" s="146"/>
      <c r="C109" s="146"/>
      <c r="D109" s="146"/>
      <c r="E109" s="106">
        <f>E97+E108</f>
        <v>760.8010400000001</v>
      </c>
      <c r="F109" s="106">
        <f>F97+F108</f>
        <v>184.95519000000002</v>
      </c>
      <c r="G109" s="106">
        <f>G97+G108</f>
        <v>234.3542</v>
      </c>
      <c r="H109" s="106">
        <f>H97+H108</f>
        <v>174.32500000000002</v>
      </c>
      <c r="I109" s="106">
        <f>I97+I108</f>
        <v>168.47642000000002</v>
      </c>
      <c r="J109" s="23"/>
    </row>
    <row r="110" spans="1:9" ht="12.75">
      <c r="A110" s="124" t="s">
        <v>118</v>
      </c>
      <c r="B110" s="124"/>
      <c r="C110" s="124"/>
      <c r="D110" s="124"/>
      <c r="E110" s="125"/>
      <c r="F110" s="36"/>
      <c r="G110" s="36"/>
      <c r="H110" s="37"/>
      <c r="I110" s="37"/>
    </row>
    <row r="111" spans="1:9" ht="12.75">
      <c r="A111" s="53" t="s">
        <v>7</v>
      </c>
      <c r="B111" s="53" t="s">
        <v>119</v>
      </c>
      <c r="C111" s="66" t="s">
        <v>120</v>
      </c>
      <c r="D111" s="52">
        <v>110.691</v>
      </c>
      <c r="E111" s="31"/>
      <c r="F111" s="36"/>
      <c r="G111" s="36"/>
      <c r="H111" s="37"/>
      <c r="I111" s="37"/>
    </row>
    <row r="112" spans="1:9" ht="12.75">
      <c r="A112" s="53" t="s">
        <v>31</v>
      </c>
      <c r="B112" s="53" t="s">
        <v>121</v>
      </c>
      <c r="C112" s="66" t="s">
        <v>122</v>
      </c>
      <c r="D112" s="52">
        <f>12+4</f>
        <v>16</v>
      </c>
      <c r="E112" s="31"/>
      <c r="F112" s="36"/>
      <c r="G112" s="36"/>
      <c r="H112" s="37"/>
      <c r="I112" s="37"/>
    </row>
    <row r="113" spans="1:11" ht="12.75">
      <c r="A113" s="53" t="s">
        <v>39</v>
      </c>
      <c r="B113" s="53" t="s">
        <v>123</v>
      </c>
      <c r="C113" s="66" t="s">
        <v>122</v>
      </c>
      <c r="D113" s="52">
        <f>396+160+120+144+153+153+63+40+196+220+60+60+60+80</f>
        <v>1905</v>
      </c>
      <c r="E113" s="31"/>
      <c r="F113" s="36"/>
      <c r="G113" s="36"/>
      <c r="H113" s="37"/>
      <c r="I113" s="37"/>
      <c r="J113"/>
      <c r="K113"/>
    </row>
    <row r="114" spans="1:7" ht="12.75">
      <c r="A114" s="67"/>
      <c r="B114" s="67"/>
      <c r="C114" s="67"/>
      <c r="D114" s="25"/>
      <c r="E114" s="25"/>
      <c r="F114" s="23"/>
      <c r="G114" s="23"/>
    </row>
    <row r="115" spans="1:7" ht="12.75">
      <c r="A115" s="67"/>
      <c r="B115" s="67" t="s">
        <v>124</v>
      </c>
      <c r="C115" s="162" t="s">
        <v>176</v>
      </c>
      <c r="D115" s="163"/>
      <c r="E115" s="163"/>
      <c r="F115" s="23"/>
      <c r="G115" s="23"/>
    </row>
    <row r="116" spans="1:7" ht="12.75">
      <c r="A116" s="67"/>
      <c r="B116" s="67"/>
      <c r="C116" s="67"/>
      <c r="D116" s="25"/>
      <c r="E116" s="25"/>
      <c r="F116" s="23"/>
      <c r="G116" s="23"/>
    </row>
    <row r="117" spans="2:7" ht="12.75">
      <c r="B117" s="95" t="s">
        <v>194</v>
      </c>
      <c r="C117" s="24" t="s">
        <v>222</v>
      </c>
      <c r="D117" s="23"/>
      <c r="E117" s="23"/>
      <c r="F117" s="23"/>
      <c r="G117" s="23"/>
    </row>
  </sheetData>
  <mergeCells count="36">
    <mergeCell ref="E6:I6"/>
    <mergeCell ref="A11:I11"/>
    <mergeCell ref="A12:I12"/>
    <mergeCell ref="A13:I13"/>
    <mergeCell ref="E2:I2"/>
    <mergeCell ref="E3:I3"/>
    <mergeCell ref="E4:I4"/>
    <mergeCell ref="E5:I5"/>
    <mergeCell ref="B21:E21"/>
    <mergeCell ref="B31:D31"/>
    <mergeCell ref="B34:D34"/>
    <mergeCell ref="A46:D46"/>
    <mergeCell ref="A96:D96"/>
    <mergeCell ref="A97:D97"/>
    <mergeCell ref="A47:D47"/>
    <mergeCell ref="B71:D71"/>
    <mergeCell ref="B73:D73"/>
    <mergeCell ref="A81:D81"/>
    <mergeCell ref="A110:E110"/>
    <mergeCell ref="C115:E115"/>
    <mergeCell ref="A18:A19"/>
    <mergeCell ref="B18:B19"/>
    <mergeCell ref="C18:C19"/>
    <mergeCell ref="D18:E18"/>
    <mergeCell ref="A98:E98"/>
    <mergeCell ref="A109:D109"/>
    <mergeCell ref="A90:D90"/>
    <mergeCell ref="A91:D91"/>
    <mergeCell ref="F18:F19"/>
    <mergeCell ref="G18:G19"/>
    <mergeCell ref="H18:H19"/>
    <mergeCell ref="I18:I19"/>
    <mergeCell ref="A99:A101"/>
    <mergeCell ref="A102:A104"/>
    <mergeCell ref="A105:A107"/>
    <mergeCell ref="A108:D108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7"/>
  </sheetPr>
  <dimension ref="A1:K101"/>
  <sheetViews>
    <sheetView workbookViewId="0" topLeftCell="A61">
      <selection activeCell="A88" sqref="A88:D88"/>
    </sheetView>
  </sheetViews>
  <sheetFormatPr defaultColWidth="9.00390625" defaultRowHeight="12.75"/>
  <cols>
    <col min="1" max="1" width="4.875" style="24" customWidth="1"/>
    <col min="2" max="2" width="61.00390625" style="24" customWidth="1"/>
    <col min="3" max="3" width="23.375" style="24" customWidth="1"/>
    <col min="4" max="8" width="9.125" style="24" customWidth="1"/>
    <col min="9" max="9" width="10.00390625" style="24" customWidth="1"/>
    <col min="10" max="16384" width="9.125" style="24" customWidth="1"/>
  </cols>
  <sheetData>
    <row r="1" spans="1:5" ht="12.75">
      <c r="A1"/>
      <c r="B1"/>
      <c r="C1"/>
      <c r="D1"/>
      <c r="E1"/>
    </row>
    <row r="2" spans="2:9" ht="12.75">
      <c r="B2" s="24" t="s">
        <v>207</v>
      </c>
      <c r="E2" s="173" t="s">
        <v>159</v>
      </c>
      <c r="F2" s="173"/>
      <c r="G2" s="173"/>
      <c r="H2" s="173"/>
      <c r="I2" s="173"/>
    </row>
    <row r="3" spans="2:9" ht="12.75">
      <c r="B3" s="24" t="s">
        <v>204</v>
      </c>
      <c r="E3" s="173" t="s">
        <v>192</v>
      </c>
      <c r="F3" s="173"/>
      <c r="G3" s="173"/>
      <c r="H3" s="173"/>
      <c r="I3" s="173"/>
    </row>
    <row r="4" spans="2:9" ht="12.75">
      <c r="B4" s="24" t="s">
        <v>213</v>
      </c>
      <c r="E4" s="173" t="s">
        <v>160</v>
      </c>
      <c r="F4" s="173"/>
      <c r="G4" s="173"/>
      <c r="H4" s="173"/>
      <c r="I4" s="173"/>
    </row>
    <row r="5" spans="5:9" ht="12.75">
      <c r="E5" s="174" t="s">
        <v>193</v>
      </c>
      <c r="F5" s="173"/>
      <c r="G5" s="173"/>
      <c r="H5" s="173"/>
      <c r="I5" s="173"/>
    </row>
    <row r="7" spans="1:9" ht="12.75">
      <c r="A7" s="158" t="s">
        <v>125</v>
      </c>
      <c r="B7" s="158"/>
      <c r="C7" s="158"/>
      <c r="D7" s="158"/>
      <c r="E7" s="158"/>
      <c r="F7" s="158"/>
      <c r="G7" s="158"/>
      <c r="H7" s="158"/>
      <c r="I7" s="158"/>
    </row>
    <row r="8" spans="1:9" ht="12.75">
      <c r="A8" s="159" t="s">
        <v>171</v>
      </c>
      <c r="B8" s="158"/>
      <c r="C8" s="158"/>
      <c r="D8" s="158"/>
      <c r="E8" s="158"/>
      <c r="F8" s="158"/>
      <c r="G8" s="158"/>
      <c r="H8" s="158"/>
      <c r="I8" s="158"/>
    </row>
    <row r="9" spans="1:9" ht="12.75">
      <c r="A9" s="160" t="s">
        <v>179</v>
      </c>
      <c r="B9" s="160"/>
      <c r="C9" s="160"/>
      <c r="D9" s="160"/>
      <c r="E9" s="160"/>
      <c r="F9" s="160"/>
      <c r="G9" s="160"/>
      <c r="H9" s="160"/>
      <c r="I9" s="160"/>
    </row>
    <row r="10" spans="1:9" ht="12.75">
      <c r="A10" s="170" t="s">
        <v>0</v>
      </c>
      <c r="B10" s="170" t="s">
        <v>1</v>
      </c>
      <c r="C10" s="170" t="s">
        <v>2</v>
      </c>
      <c r="D10" s="171" t="s">
        <v>3</v>
      </c>
      <c r="E10" s="172"/>
      <c r="F10" s="153" t="s">
        <v>139</v>
      </c>
      <c r="G10" s="153" t="s">
        <v>140</v>
      </c>
      <c r="H10" s="155" t="s">
        <v>141</v>
      </c>
      <c r="I10" s="155" t="s">
        <v>142</v>
      </c>
    </row>
    <row r="11" spans="1:9" ht="38.25">
      <c r="A11" s="170"/>
      <c r="B11" s="170"/>
      <c r="C11" s="170"/>
      <c r="D11" s="50" t="s">
        <v>4</v>
      </c>
      <c r="E11" s="30" t="s">
        <v>5</v>
      </c>
      <c r="F11" s="154"/>
      <c r="G11" s="154"/>
      <c r="H11" s="156"/>
      <c r="I11" s="156"/>
    </row>
    <row r="12" spans="1:9" ht="12.75">
      <c r="A12" s="51" t="s">
        <v>6</v>
      </c>
      <c r="B12" s="51"/>
      <c r="C12" s="39"/>
      <c r="D12" s="52"/>
      <c r="E12" s="31"/>
      <c r="F12" s="36"/>
      <c r="G12" s="36"/>
      <c r="H12" s="37"/>
      <c r="I12" s="37"/>
    </row>
    <row r="13" spans="1:9" ht="12.75">
      <c r="A13" s="53" t="s">
        <v>7</v>
      </c>
      <c r="B13" s="164" t="s">
        <v>8</v>
      </c>
      <c r="C13" s="164"/>
      <c r="D13" s="164"/>
      <c r="E13" s="165"/>
      <c r="F13" s="36"/>
      <c r="G13" s="36"/>
      <c r="H13" s="37"/>
      <c r="I13" s="37"/>
    </row>
    <row r="14" spans="1:11" ht="12.75">
      <c r="A14" s="20" t="s">
        <v>9</v>
      </c>
      <c r="B14" s="20" t="s">
        <v>10</v>
      </c>
      <c r="C14" s="22" t="s">
        <v>11</v>
      </c>
      <c r="D14" s="18">
        <v>0.8</v>
      </c>
      <c r="E14" s="32">
        <f>D14*0.7</f>
        <v>0.5599999999999999</v>
      </c>
      <c r="F14" s="36"/>
      <c r="G14" s="36">
        <f aca="true" t="shared" si="0" ref="G14:G19">E14/2</f>
        <v>0.27999999999999997</v>
      </c>
      <c r="H14" s="36">
        <f aca="true" t="shared" si="1" ref="H14:H19">E14-G14</f>
        <v>0.27999999999999997</v>
      </c>
      <c r="I14" s="37"/>
      <c r="J14"/>
      <c r="K14"/>
    </row>
    <row r="15" spans="1:11" ht="12.75">
      <c r="A15" s="20" t="s">
        <v>12</v>
      </c>
      <c r="B15" s="21" t="s">
        <v>13</v>
      </c>
      <c r="C15" s="22" t="s">
        <v>14</v>
      </c>
      <c r="D15" s="18">
        <f>0.336*2</f>
        <v>0.672</v>
      </c>
      <c r="E15" s="32">
        <f>D15*0.23</f>
        <v>0.15456</v>
      </c>
      <c r="F15" s="36"/>
      <c r="G15" s="36">
        <f t="shared" si="0"/>
        <v>0.07728</v>
      </c>
      <c r="H15" s="36">
        <f t="shared" si="1"/>
        <v>0.07728</v>
      </c>
      <c r="I15" s="37"/>
      <c r="J15"/>
      <c r="K15"/>
    </row>
    <row r="16" spans="1:9" ht="12.75">
      <c r="A16" s="20" t="s">
        <v>15</v>
      </c>
      <c r="B16" s="21" t="s">
        <v>16</v>
      </c>
      <c r="C16" s="22" t="s">
        <v>14</v>
      </c>
      <c r="D16" s="18">
        <f>0.336*2</f>
        <v>0.672</v>
      </c>
      <c r="E16" s="32">
        <f>D16*0.4</f>
        <v>0.26880000000000004</v>
      </c>
      <c r="F16" s="36"/>
      <c r="G16" s="36">
        <f t="shared" si="0"/>
        <v>0.13440000000000002</v>
      </c>
      <c r="H16" s="36">
        <f t="shared" si="1"/>
        <v>0.13440000000000002</v>
      </c>
      <c r="I16" s="37"/>
    </row>
    <row r="17" spans="1:11" ht="25.5">
      <c r="A17" s="20" t="s">
        <v>17</v>
      </c>
      <c r="B17" s="21" t="s">
        <v>18</v>
      </c>
      <c r="C17" s="22" t="s">
        <v>14</v>
      </c>
      <c r="D17" s="18">
        <f>0.336*2</f>
        <v>0.672</v>
      </c>
      <c r="E17" s="32">
        <f>D17*0.4</f>
        <v>0.26880000000000004</v>
      </c>
      <c r="F17" s="36"/>
      <c r="G17" s="36">
        <f t="shared" si="0"/>
        <v>0.13440000000000002</v>
      </c>
      <c r="H17" s="36">
        <f t="shared" si="1"/>
        <v>0.13440000000000002</v>
      </c>
      <c r="I17" s="37"/>
      <c r="J17"/>
      <c r="K17"/>
    </row>
    <row r="18" spans="1:11" ht="25.5">
      <c r="A18" s="20" t="s">
        <v>19</v>
      </c>
      <c r="B18" s="21" t="s">
        <v>20</v>
      </c>
      <c r="C18" s="22" t="s">
        <v>14</v>
      </c>
      <c r="D18" s="18">
        <f>0.336*2</f>
        <v>0.672</v>
      </c>
      <c r="E18" s="32">
        <f>D18*0.3</f>
        <v>0.2016</v>
      </c>
      <c r="F18" s="36"/>
      <c r="G18" s="36">
        <f t="shared" si="0"/>
        <v>0.1008</v>
      </c>
      <c r="H18" s="36">
        <f t="shared" si="1"/>
        <v>0.1008</v>
      </c>
      <c r="I18" s="37"/>
      <c r="J18"/>
      <c r="K18"/>
    </row>
    <row r="19" spans="1:11" ht="12.75">
      <c r="A19" s="20" t="s">
        <v>21</v>
      </c>
      <c r="B19" s="21" t="s">
        <v>22</v>
      </c>
      <c r="C19" s="22" t="s">
        <v>14</v>
      </c>
      <c r="D19" s="18">
        <v>0</v>
      </c>
      <c r="E19" s="32">
        <f>D19*0.4</f>
        <v>0</v>
      </c>
      <c r="F19" s="36"/>
      <c r="G19" s="36">
        <f t="shared" si="0"/>
        <v>0</v>
      </c>
      <c r="H19" s="36">
        <f t="shared" si="1"/>
        <v>0</v>
      </c>
      <c r="I19" s="37"/>
      <c r="J19"/>
      <c r="K19"/>
    </row>
    <row r="20" spans="1:11" ht="12.75">
      <c r="A20" s="20" t="s">
        <v>23</v>
      </c>
      <c r="B20" s="20" t="s">
        <v>24</v>
      </c>
      <c r="C20" s="22" t="s">
        <v>25</v>
      </c>
      <c r="D20" s="18">
        <v>0</v>
      </c>
      <c r="E20" s="32">
        <v>0</v>
      </c>
      <c r="F20" s="36"/>
      <c r="G20" s="36">
        <v>0</v>
      </c>
      <c r="H20" s="36">
        <v>0</v>
      </c>
      <c r="I20" s="37"/>
      <c r="J20"/>
      <c r="K20"/>
    </row>
    <row r="21" spans="1:11" ht="25.5">
      <c r="A21" s="20" t="s">
        <v>26</v>
      </c>
      <c r="B21" s="21" t="s">
        <v>27</v>
      </c>
      <c r="C21" s="22" t="s">
        <v>25</v>
      </c>
      <c r="D21" s="18"/>
      <c r="E21" s="32"/>
      <c r="F21" s="36"/>
      <c r="G21" s="36"/>
      <c r="H21" s="37"/>
      <c r="I21" s="37"/>
      <c r="J21"/>
      <c r="K21"/>
    </row>
    <row r="22" spans="1:11" ht="25.5">
      <c r="A22" s="20" t="s">
        <v>28</v>
      </c>
      <c r="B22" s="21" t="s">
        <v>29</v>
      </c>
      <c r="C22" s="22" t="s">
        <v>30</v>
      </c>
      <c r="D22" s="18"/>
      <c r="E22" s="32"/>
      <c r="F22" s="36"/>
      <c r="G22" s="36"/>
      <c r="H22" s="37"/>
      <c r="I22" s="37"/>
      <c r="J22"/>
      <c r="K22"/>
    </row>
    <row r="23" spans="1:11" ht="12.75">
      <c r="A23" s="20" t="s">
        <v>31</v>
      </c>
      <c r="B23" s="137" t="s">
        <v>32</v>
      </c>
      <c r="C23" s="138"/>
      <c r="D23" s="138"/>
      <c r="E23" s="26"/>
      <c r="F23" s="36"/>
      <c r="G23" s="36"/>
      <c r="H23" s="37"/>
      <c r="I23" s="37"/>
      <c r="J23"/>
      <c r="K23"/>
    </row>
    <row r="24" spans="1:11" ht="12.75">
      <c r="A24" s="20" t="s">
        <v>33</v>
      </c>
      <c r="B24" s="21" t="s">
        <v>34</v>
      </c>
      <c r="C24" s="54" t="s">
        <v>35</v>
      </c>
      <c r="D24" s="18"/>
      <c r="E24" s="32"/>
      <c r="F24" s="36"/>
      <c r="G24" s="36"/>
      <c r="H24" s="37"/>
      <c r="I24" s="37"/>
      <c r="J24"/>
      <c r="K24"/>
    </row>
    <row r="25" spans="1:11" ht="12.75">
      <c r="A25" s="20" t="s">
        <v>36</v>
      </c>
      <c r="B25" s="20" t="s">
        <v>37</v>
      </c>
      <c r="C25" s="54" t="s">
        <v>38</v>
      </c>
      <c r="D25" s="18"/>
      <c r="E25" s="32"/>
      <c r="F25" s="36"/>
      <c r="G25" s="36"/>
      <c r="H25" s="37"/>
      <c r="I25" s="37"/>
      <c r="J25"/>
      <c r="K25"/>
    </row>
    <row r="26" spans="1:11" ht="12.75">
      <c r="A26" s="20" t="s">
        <v>39</v>
      </c>
      <c r="B26" s="137" t="s">
        <v>32</v>
      </c>
      <c r="C26" s="138"/>
      <c r="D26" s="138"/>
      <c r="E26" s="26"/>
      <c r="F26" s="36"/>
      <c r="G26" s="36"/>
      <c r="H26" s="37"/>
      <c r="I26" s="37"/>
      <c r="J26"/>
      <c r="K26"/>
    </row>
    <row r="27" spans="1:11" ht="12.75">
      <c r="A27" s="20" t="s">
        <v>40</v>
      </c>
      <c r="B27" s="46" t="s">
        <v>138</v>
      </c>
      <c r="C27" s="54" t="s">
        <v>38</v>
      </c>
      <c r="D27" s="18">
        <v>0</v>
      </c>
      <c r="E27" s="32">
        <f>D27*0.1</f>
        <v>0</v>
      </c>
      <c r="F27" s="36"/>
      <c r="G27" s="36"/>
      <c r="H27" s="37"/>
      <c r="I27" s="37"/>
      <c r="J27"/>
      <c r="K27"/>
    </row>
    <row r="28" spans="1:11" ht="12.75">
      <c r="A28" s="20" t="s">
        <v>41</v>
      </c>
      <c r="B28" s="20" t="s">
        <v>42</v>
      </c>
      <c r="C28" s="54"/>
      <c r="D28" s="18"/>
      <c r="E28" s="32"/>
      <c r="F28" s="36"/>
      <c r="G28" s="36"/>
      <c r="H28" s="37"/>
      <c r="I28" s="37"/>
      <c r="J28"/>
      <c r="K28"/>
    </row>
    <row r="29" spans="1:11" ht="12.75">
      <c r="A29" s="20"/>
      <c r="B29" s="20" t="s">
        <v>43</v>
      </c>
      <c r="C29" s="54" t="s">
        <v>44</v>
      </c>
      <c r="D29" s="18">
        <v>0</v>
      </c>
      <c r="E29" s="32">
        <f>D29*0.05</f>
        <v>0</v>
      </c>
      <c r="F29" s="36"/>
      <c r="G29" s="36"/>
      <c r="H29" s="37"/>
      <c r="I29" s="37"/>
      <c r="J29"/>
      <c r="K29"/>
    </row>
    <row r="30" spans="1:11" ht="12.75">
      <c r="A30" s="20"/>
      <c r="B30" s="20" t="s">
        <v>45</v>
      </c>
      <c r="C30" s="54" t="s">
        <v>46</v>
      </c>
      <c r="D30" s="18"/>
      <c r="E30" s="32"/>
      <c r="F30" s="36"/>
      <c r="G30" s="36"/>
      <c r="H30" s="37"/>
      <c r="I30" s="37"/>
      <c r="J30"/>
      <c r="K30"/>
    </row>
    <row r="31" spans="1:11" ht="12.75">
      <c r="A31" s="20" t="s">
        <v>47</v>
      </c>
      <c r="B31" s="20" t="s">
        <v>48</v>
      </c>
      <c r="C31" s="54"/>
      <c r="D31" s="18"/>
      <c r="E31" s="32"/>
      <c r="F31" s="36"/>
      <c r="G31" s="36"/>
      <c r="H31" s="37"/>
      <c r="I31" s="37"/>
      <c r="J31"/>
      <c r="K31"/>
    </row>
    <row r="32" spans="1:11" ht="12.75">
      <c r="A32" s="20"/>
      <c r="B32" s="20" t="s">
        <v>49</v>
      </c>
      <c r="C32" s="54" t="s">
        <v>50</v>
      </c>
      <c r="D32" s="18"/>
      <c r="E32" s="32"/>
      <c r="F32" s="36"/>
      <c r="G32" s="36"/>
      <c r="H32" s="37"/>
      <c r="I32" s="37"/>
      <c r="J32"/>
      <c r="K32"/>
    </row>
    <row r="33" spans="1:11" ht="12.75">
      <c r="A33" s="20"/>
      <c r="B33" s="20" t="s">
        <v>51</v>
      </c>
      <c r="C33" s="54" t="s">
        <v>50</v>
      </c>
      <c r="D33" s="18"/>
      <c r="E33" s="32"/>
      <c r="F33" s="36"/>
      <c r="G33" s="36"/>
      <c r="H33" s="37"/>
      <c r="I33" s="37"/>
      <c r="J33"/>
      <c r="K33"/>
    </row>
    <row r="34" spans="1:11" ht="12.75">
      <c r="A34" s="20" t="s">
        <v>52</v>
      </c>
      <c r="B34" s="20" t="s">
        <v>53</v>
      </c>
      <c r="C34" s="54" t="s">
        <v>54</v>
      </c>
      <c r="D34" s="18">
        <v>400</v>
      </c>
      <c r="E34" s="32">
        <f>D34*0.0134</f>
        <v>5.36</v>
      </c>
      <c r="F34" s="36">
        <v>5.36</v>
      </c>
      <c r="G34" s="36"/>
      <c r="H34" s="37"/>
      <c r="I34" s="37"/>
      <c r="J34"/>
      <c r="K34"/>
    </row>
    <row r="35" spans="1:11" ht="12.75">
      <c r="A35" s="20" t="s">
        <v>99</v>
      </c>
      <c r="B35" s="20" t="s">
        <v>129</v>
      </c>
      <c r="C35" s="54" t="s">
        <v>130</v>
      </c>
      <c r="D35" s="18">
        <v>0</v>
      </c>
      <c r="E35" s="32">
        <f>D35*0.7</f>
        <v>0</v>
      </c>
      <c r="F35" s="36"/>
      <c r="G35" s="36"/>
      <c r="H35" s="37"/>
      <c r="I35" s="37"/>
      <c r="J35"/>
      <c r="K35"/>
    </row>
    <row r="36" spans="1:11" ht="12.75">
      <c r="A36" s="20" t="s">
        <v>102</v>
      </c>
      <c r="B36" s="20" t="s">
        <v>131</v>
      </c>
      <c r="C36" s="54" t="s">
        <v>132</v>
      </c>
      <c r="D36" s="18">
        <v>0</v>
      </c>
      <c r="E36" s="32">
        <v>0</v>
      </c>
      <c r="F36" s="36"/>
      <c r="G36" s="36"/>
      <c r="H36" s="37"/>
      <c r="I36" s="37"/>
      <c r="J36"/>
      <c r="K36"/>
    </row>
    <row r="37" spans="1:11" ht="12.75">
      <c r="A37" s="55" t="s">
        <v>103</v>
      </c>
      <c r="B37" s="21" t="s">
        <v>133</v>
      </c>
      <c r="C37" s="22" t="s">
        <v>61</v>
      </c>
      <c r="D37" s="18">
        <v>0</v>
      </c>
      <c r="E37" s="32">
        <v>0</v>
      </c>
      <c r="F37" s="36"/>
      <c r="G37" s="36"/>
      <c r="H37" s="37"/>
      <c r="I37" s="37"/>
      <c r="J37"/>
      <c r="K37"/>
    </row>
    <row r="38" spans="1:11" ht="12.75">
      <c r="A38" s="142" t="s">
        <v>145</v>
      </c>
      <c r="B38" s="140"/>
      <c r="C38" s="140"/>
      <c r="D38" s="141"/>
      <c r="E38" s="40">
        <f>SUM(E14:E37)</f>
        <v>6.81376</v>
      </c>
      <c r="F38" s="41">
        <f>SUM(F14:F37)</f>
        <v>5.36</v>
      </c>
      <c r="G38" s="41">
        <f>SUM(G14:G37)</f>
        <v>0.72688</v>
      </c>
      <c r="H38" s="41">
        <f>SUM(H14:H37)</f>
        <v>0.72688</v>
      </c>
      <c r="I38" s="41">
        <f>SUM(I14:I37)</f>
        <v>0</v>
      </c>
      <c r="J38" s="71">
        <f>F38+G38+H38</f>
        <v>6.81376</v>
      </c>
      <c r="K38" s="43"/>
    </row>
    <row r="39" spans="1:9" ht="12.75">
      <c r="A39" s="147" t="s">
        <v>55</v>
      </c>
      <c r="B39" s="148"/>
      <c r="C39" s="148"/>
      <c r="D39" s="149"/>
      <c r="E39" s="39"/>
      <c r="F39" s="36"/>
      <c r="G39" s="36"/>
      <c r="H39" s="37"/>
      <c r="I39" s="37"/>
    </row>
    <row r="40" spans="1:9" ht="12.75">
      <c r="A40" s="53" t="s">
        <v>7</v>
      </c>
      <c r="B40" s="56" t="s">
        <v>8</v>
      </c>
      <c r="C40" s="20"/>
      <c r="D40" s="18"/>
      <c r="E40" s="32"/>
      <c r="F40" s="36"/>
      <c r="G40" s="36"/>
      <c r="H40" s="37"/>
      <c r="I40" s="37"/>
    </row>
    <row r="41" spans="1:9" ht="12.75">
      <c r="A41" s="20" t="s">
        <v>9</v>
      </c>
      <c r="B41" s="20" t="s">
        <v>56</v>
      </c>
      <c r="C41" s="20"/>
      <c r="D41" s="18"/>
      <c r="E41" s="32"/>
      <c r="F41" s="36"/>
      <c r="G41" s="36"/>
      <c r="H41" s="37"/>
      <c r="I41" s="37"/>
    </row>
    <row r="42" spans="1:9" ht="12.75">
      <c r="A42" s="20"/>
      <c r="B42" s="20" t="s">
        <v>57</v>
      </c>
      <c r="C42" s="22" t="s">
        <v>14</v>
      </c>
      <c r="D42" s="18">
        <v>0</v>
      </c>
      <c r="E42" s="32">
        <f>D42*1.1</f>
        <v>0</v>
      </c>
      <c r="F42" s="36"/>
      <c r="G42" s="36"/>
      <c r="H42" s="37"/>
      <c r="I42" s="36"/>
    </row>
    <row r="43" spans="1:9" ht="25.5">
      <c r="A43" s="20"/>
      <c r="B43" s="20" t="s">
        <v>58</v>
      </c>
      <c r="C43" s="22" t="s">
        <v>59</v>
      </c>
      <c r="D43" s="18">
        <v>0</v>
      </c>
      <c r="E43" s="32">
        <f>D43*0.4</f>
        <v>0</v>
      </c>
      <c r="F43" s="36"/>
      <c r="G43" s="36"/>
      <c r="H43" s="37"/>
      <c r="I43" s="37"/>
    </row>
    <row r="44" spans="1:9" ht="12.75">
      <c r="A44" s="20" t="s">
        <v>12</v>
      </c>
      <c r="B44" s="21" t="s">
        <v>60</v>
      </c>
      <c r="C44" s="22" t="s">
        <v>61</v>
      </c>
      <c r="D44" s="18">
        <v>0</v>
      </c>
      <c r="E44" s="32">
        <f>0.1*D44</f>
        <v>0</v>
      </c>
      <c r="F44" s="36"/>
      <c r="G44" s="36"/>
      <c r="H44" s="37"/>
      <c r="I44" s="36"/>
    </row>
    <row r="45" spans="1:9" ht="25.5">
      <c r="A45" s="20" t="s">
        <v>15</v>
      </c>
      <c r="B45" s="21" t="s">
        <v>62</v>
      </c>
      <c r="C45" s="22"/>
      <c r="D45" s="18"/>
      <c r="E45" s="32"/>
      <c r="F45" s="36"/>
      <c r="G45" s="36"/>
      <c r="H45" s="37"/>
      <c r="I45" s="37"/>
    </row>
    <row r="46" spans="1:11" ht="12.75">
      <c r="A46" s="20"/>
      <c r="B46" s="20" t="s">
        <v>57</v>
      </c>
      <c r="C46" s="22" t="s">
        <v>14</v>
      </c>
      <c r="D46" s="18">
        <v>0</v>
      </c>
      <c r="E46" s="32">
        <f>D46*0.9</f>
        <v>0</v>
      </c>
      <c r="F46" s="36"/>
      <c r="G46" s="36"/>
      <c r="H46" s="37"/>
      <c r="I46" s="36"/>
      <c r="J46"/>
      <c r="K46"/>
    </row>
    <row r="47" spans="1:9" ht="12.75">
      <c r="A47" s="20"/>
      <c r="B47" s="20" t="s">
        <v>63</v>
      </c>
      <c r="C47" s="22" t="s">
        <v>136</v>
      </c>
      <c r="D47" s="18">
        <v>0</v>
      </c>
      <c r="E47" s="32">
        <f>D47*0.01</f>
        <v>0</v>
      </c>
      <c r="F47" s="36"/>
      <c r="G47" s="36"/>
      <c r="H47" s="37"/>
      <c r="I47" s="37"/>
    </row>
    <row r="48" spans="1:9" ht="12.75">
      <c r="A48" s="20"/>
      <c r="B48" s="57" t="s">
        <v>158</v>
      </c>
      <c r="C48" s="22" t="s">
        <v>64</v>
      </c>
      <c r="D48" s="18"/>
      <c r="E48" s="32"/>
      <c r="F48" s="36"/>
      <c r="G48" s="36"/>
      <c r="H48" s="37"/>
      <c r="I48" s="37"/>
    </row>
    <row r="49" spans="1:9" ht="12.75">
      <c r="A49" s="20" t="s">
        <v>17</v>
      </c>
      <c r="B49" s="20" t="s">
        <v>65</v>
      </c>
      <c r="C49" s="22" t="s">
        <v>66</v>
      </c>
      <c r="D49" s="18">
        <v>0</v>
      </c>
      <c r="E49" s="32">
        <f>D49*0.025</f>
        <v>0</v>
      </c>
      <c r="F49" s="36"/>
      <c r="G49" s="36"/>
      <c r="H49" s="37"/>
      <c r="I49" s="37"/>
    </row>
    <row r="50" spans="1:9" ht="12.75">
      <c r="A50" s="20" t="s">
        <v>19</v>
      </c>
      <c r="B50" s="20" t="s">
        <v>67</v>
      </c>
      <c r="C50" s="22" t="s">
        <v>68</v>
      </c>
      <c r="D50" s="18">
        <v>0</v>
      </c>
      <c r="E50" s="32">
        <f>D50*0.04</f>
        <v>0</v>
      </c>
      <c r="F50" s="36"/>
      <c r="G50" s="36"/>
      <c r="H50" s="37"/>
      <c r="I50" s="37"/>
    </row>
    <row r="51" spans="1:9" ht="12.75">
      <c r="A51" s="20" t="s">
        <v>21</v>
      </c>
      <c r="B51" s="20" t="s">
        <v>69</v>
      </c>
      <c r="C51" s="22" t="s">
        <v>87</v>
      </c>
      <c r="D51" s="18">
        <v>0</v>
      </c>
      <c r="E51" s="32">
        <f>D51*0.068</f>
        <v>0</v>
      </c>
      <c r="F51" s="36"/>
      <c r="G51" s="36"/>
      <c r="H51" s="37"/>
      <c r="I51" s="36"/>
    </row>
    <row r="52" spans="1:9" ht="25.5">
      <c r="A52" s="46" t="s">
        <v>23</v>
      </c>
      <c r="B52" s="21" t="s">
        <v>71</v>
      </c>
      <c r="C52" s="22" t="s">
        <v>72</v>
      </c>
      <c r="D52" s="18">
        <v>0</v>
      </c>
      <c r="E52" s="32">
        <f>D52*0.05</f>
        <v>0</v>
      </c>
      <c r="F52" s="36"/>
      <c r="G52" s="36"/>
      <c r="H52" s="37"/>
      <c r="I52" s="37"/>
    </row>
    <row r="53" spans="1:9" ht="12.75">
      <c r="A53" s="20" t="s">
        <v>73</v>
      </c>
      <c r="B53" s="20" t="s">
        <v>74</v>
      </c>
      <c r="C53" s="22" t="s">
        <v>75</v>
      </c>
      <c r="D53" s="18">
        <v>0</v>
      </c>
      <c r="E53" s="32">
        <f>D53*0.1</f>
        <v>0</v>
      </c>
      <c r="F53" s="36"/>
      <c r="G53" s="36"/>
      <c r="H53" s="37"/>
      <c r="I53" s="37"/>
    </row>
    <row r="54" spans="1:9" ht="25.5">
      <c r="A54" s="20" t="s">
        <v>26</v>
      </c>
      <c r="B54" s="21" t="s">
        <v>77</v>
      </c>
      <c r="C54" s="22" t="s">
        <v>68</v>
      </c>
      <c r="D54" s="18">
        <v>0</v>
      </c>
      <c r="E54" s="32">
        <f>D54*0.032</f>
        <v>0</v>
      </c>
      <c r="F54" s="36"/>
      <c r="G54" s="36"/>
      <c r="H54" s="37"/>
      <c r="I54" s="36"/>
    </row>
    <row r="55" spans="1:9" ht="25.5">
      <c r="A55" s="20" t="s">
        <v>28</v>
      </c>
      <c r="B55" s="21" t="s">
        <v>79</v>
      </c>
      <c r="C55" s="22" t="s">
        <v>80</v>
      </c>
      <c r="D55" s="18"/>
      <c r="E55" s="32"/>
      <c r="F55" s="36"/>
      <c r="G55" s="36"/>
      <c r="H55" s="37"/>
      <c r="I55" s="37"/>
    </row>
    <row r="56" spans="1:9" ht="12.75">
      <c r="A56" s="20" t="s">
        <v>70</v>
      </c>
      <c r="B56" s="21" t="s">
        <v>82</v>
      </c>
      <c r="C56" s="22" t="s">
        <v>83</v>
      </c>
      <c r="D56" s="18">
        <v>10</v>
      </c>
      <c r="E56" s="32">
        <f>D56*0.02</f>
        <v>0.2</v>
      </c>
      <c r="F56" s="36">
        <v>0.1</v>
      </c>
      <c r="G56" s="36"/>
      <c r="H56" s="37">
        <v>0.2</v>
      </c>
      <c r="I56" s="37"/>
    </row>
    <row r="57" spans="1:9" ht="12.75">
      <c r="A57" s="20" t="s">
        <v>73</v>
      </c>
      <c r="B57" s="21" t="s">
        <v>154</v>
      </c>
      <c r="C57" s="22" t="s">
        <v>144</v>
      </c>
      <c r="D57" s="18">
        <v>0</v>
      </c>
      <c r="E57" s="32">
        <f>D57*0.128</f>
        <v>0</v>
      </c>
      <c r="F57" s="36"/>
      <c r="G57" s="36"/>
      <c r="H57" s="37"/>
      <c r="I57" s="37"/>
    </row>
    <row r="58" spans="1:9" ht="12.75">
      <c r="A58" s="20" t="s">
        <v>76</v>
      </c>
      <c r="B58" s="21" t="s">
        <v>155</v>
      </c>
      <c r="C58" s="22" t="s">
        <v>144</v>
      </c>
      <c r="D58" s="18">
        <v>0</v>
      </c>
      <c r="E58" s="32">
        <f>D58*0.152</f>
        <v>0</v>
      </c>
      <c r="F58" s="36"/>
      <c r="G58" s="36"/>
      <c r="H58" s="37"/>
      <c r="I58" s="37"/>
    </row>
    <row r="59" spans="1:9" ht="12.75">
      <c r="A59" s="46" t="s">
        <v>78</v>
      </c>
      <c r="B59" s="21" t="s">
        <v>84</v>
      </c>
      <c r="C59" s="22" t="s">
        <v>85</v>
      </c>
      <c r="D59" s="18">
        <v>0</v>
      </c>
      <c r="E59" s="32">
        <f>D59*0.1</f>
        <v>0</v>
      </c>
      <c r="F59" s="36"/>
      <c r="G59" s="36"/>
      <c r="H59" s="37"/>
      <c r="I59" s="36"/>
    </row>
    <row r="60" spans="1:9" ht="12.75">
      <c r="A60" s="46" t="s">
        <v>81</v>
      </c>
      <c r="B60" s="21" t="s">
        <v>86</v>
      </c>
      <c r="C60" s="22" t="s">
        <v>87</v>
      </c>
      <c r="D60" s="18">
        <v>15</v>
      </c>
      <c r="E60" s="32">
        <f>D60*0.03</f>
        <v>0.44999999999999996</v>
      </c>
      <c r="F60" s="36"/>
      <c r="G60" s="36">
        <v>0.45</v>
      </c>
      <c r="H60" s="37"/>
      <c r="I60" s="37"/>
    </row>
    <row r="61" spans="1:9" ht="12.75">
      <c r="A61" s="46" t="s">
        <v>156</v>
      </c>
      <c r="B61" s="21" t="s">
        <v>88</v>
      </c>
      <c r="C61" s="22" t="s">
        <v>89</v>
      </c>
      <c r="D61" s="18">
        <v>0</v>
      </c>
      <c r="E61" s="32">
        <f>D61*0.02</f>
        <v>0</v>
      </c>
      <c r="F61" s="36"/>
      <c r="G61" s="36"/>
      <c r="H61" s="37"/>
      <c r="I61" s="37"/>
    </row>
    <row r="62" spans="1:9" ht="12.75">
      <c r="A62" s="46" t="s">
        <v>157</v>
      </c>
      <c r="B62" s="37" t="s">
        <v>143</v>
      </c>
      <c r="C62" s="37" t="s">
        <v>144</v>
      </c>
      <c r="D62" s="37">
        <v>0</v>
      </c>
      <c r="E62" s="37">
        <f>D62*0.15</f>
        <v>0</v>
      </c>
      <c r="F62" s="37"/>
      <c r="G62" s="37"/>
      <c r="H62" s="37"/>
      <c r="I62" s="37"/>
    </row>
    <row r="63" spans="1:9" ht="12.75">
      <c r="A63" s="20" t="s">
        <v>31</v>
      </c>
      <c r="B63" s="137" t="s">
        <v>32</v>
      </c>
      <c r="C63" s="138"/>
      <c r="D63" s="138"/>
      <c r="E63" s="26"/>
      <c r="F63" s="36"/>
      <c r="G63" s="36"/>
      <c r="H63" s="37"/>
      <c r="I63" s="37"/>
    </row>
    <row r="64" spans="1:9" ht="12.75">
      <c r="A64" s="20" t="s">
        <v>33</v>
      </c>
      <c r="B64" s="21" t="s">
        <v>90</v>
      </c>
      <c r="C64" s="22" t="s">
        <v>91</v>
      </c>
      <c r="D64" s="18">
        <v>0</v>
      </c>
      <c r="E64" s="32">
        <f>D64*0.2</f>
        <v>0</v>
      </c>
      <c r="F64" s="36"/>
      <c r="G64" s="36"/>
      <c r="H64" s="37"/>
      <c r="I64" s="37"/>
    </row>
    <row r="65" spans="1:9" ht="12.75">
      <c r="A65" s="20" t="s">
        <v>39</v>
      </c>
      <c r="B65" s="137" t="s">
        <v>32</v>
      </c>
      <c r="C65" s="138"/>
      <c r="D65" s="138"/>
      <c r="E65" s="26"/>
      <c r="F65" s="36"/>
      <c r="G65" s="36"/>
      <c r="H65" s="37"/>
      <c r="I65" s="37"/>
    </row>
    <row r="66" spans="1:9" ht="12.75">
      <c r="A66" s="20" t="s">
        <v>40</v>
      </c>
      <c r="B66" s="21" t="s">
        <v>92</v>
      </c>
      <c r="C66" s="22" t="s">
        <v>93</v>
      </c>
      <c r="D66" s="18">
        <v>0</v>
      </c>
      <c r="E66" s="32">
        <f>D66*0.3</f>
        <v>0</v>
      </c>
      <c r="F66" s="36"/>
      <c r="G66" s="36"/>
      <c r="H66" s="37"/>
      <c r="I66" s="37"/>
    </row>
    <row r="67" spans="1:9" ht="12.75">
      <c r="A67" s="20" t="s">
        <v>41</v>
      </c>
      <c r="B67" s="21" t="s">
        <v>94</v>
      </c>
      <c r="C67" s="22" t="s">
        <v>95</v>
      </c>
      <c r="D67" s="18"/>
      <c r="E67" s="32"/>
      <c r="F67" s="36"/>
      <c r="G67" s="36"/>
      <c r="H67" s="37"/>
      <c r="I67" s="37"/>
    </row>
    <row r="68" spans="1:9" ht="12.75">
      <c r="A68" s="20" t="s">
        <v>47</v>
      </c>
      <c r="B68" s="21" t="s">
        <v>96</v>
      </c>
      <c r="C68" s="22" t="s">
        <v>97</v>
      </c>
      <c r="D68" s="18">
        <v>0</v>
      </c>
      <c r="E68" s="32">
        <f>D68*0.0976</f>
        <v>0</v>
      </c>
      <c r="F68" s="36"/>
      <c r="G68" s="36"/>
      <c r="H68" s="37"/>
      <c r="I68" s="37"/>
    </row>
    <row r="69" spans="1:9" ht="12.75">
      <c r="A69" s="20" t="s">
        <v>52</v>
      </c>
      <c r="B69" s="21" t="s">
        <v>98</v>
      </c>
      <c r="C69" s="22" t="s">
        <v>91</v>
      </c>
      <c r="D69" s="18">
        <v>0</v>
      </c>
      <c r="E69" s="32">
        <f>D69*0.874</f>
        <v>0</v>
      </c>
      <c r="F69" s="36"/>
      <c r="G69" s="36"/>
      <c r="H69" s="37"/>
      <c r="I69" s="37"/>
    </row>
    <row r="70" spans="1:9" ht="12.75">
      <c r="A70" s="20" t="s">
        <v>99</v>
      </c>
      <c r="B70" s="21" t="s">
        <v>100</v>
      </c>
      <c r="C70" s="22" t="s">
        <v>101</v>
      </c>
      <c r="D70" s="18">
        <v>0</v>
      </c>
      <c r="E70" s="32">
        <f>D70*0.1</f>
        <v>0</v>
      </c>
      <c r="F70" s="36"/>
      <c r="G70" s="36"/>
      <c r="H70" s="37"/>
      <c r="I70" s="37"/>
    </row>
    <row r="71" spans="1:9" ht="12.75">
      <c r="A71" s="20" t="s">
        <v>102</v>
      </c>
      <c r="B71" s="21" t="s">
        <v>134</v>
      </c>
      <c r="C71" s="22" t="s">
        <v>130</v>
      </c>
      <c r="D71" s="18">
        <v>1</v>
      </c>
      <c r="E71" s="32">
        <v>1.08</v>
      </c>
      <c r="F71" s="36"/>
      <c r="G71" s="36">
        <v>1.08</v>
      </c>
      <c r="H71" s="37"/>
      <c r="I71" s="36"/>
    </row>
    <row r="72" spans="1:9" ht="12.75">
      <c r="A72" s="20" t="s">
        <v>103</v>
      </c>
      <c r="B72" s="57" t="s">
        <v>135</v>
      </c>
      <c r="C72" s="58" t="s">
        <v>130</v>
      </c>
      <c r="D72" s="18">
        <v>0</v>
      </c>
      <c r="E72" s="32">
        <v>0</v>
      </c>
      <c r="F72" s="36"/>
      <c r="G72" s="36"/>
      <c r="H72" s="37"/>
      <c r="I72" s="37"/>
    </row>
    <row r="73" spans="1:11" ht="12.75">
      <c r="A73" s="142" t="s">
        <v>146</v>
      </c>
      <c r="B73" s="140"/>
      <c r="C73" s="140"/>
      <c r="D73" s="141"/>
      <c r="E73" s="40">
        <f>SUM(E42:E72)</f>
        <v>1.73</v>
      </c>
      <c r="F73" s="41">
        <f>SUM(F41:F72)</f>
        <v>0.1</v>
      </c>
      <c r="G73" s="41">
        <f>SUM(G41:G72)</f>
        <v>1.53</v>
      </c>
      <c r="H73" s="42">
        <f>SUM(H41:H72)</f>
        <v>0.2</v>
      </c>
      <c r="I73" s="42">
        <f>SUM(I41:I72)</f>
        <v>0</v>
      </c>
      <c r="J73" s="72">
        <f>F73+G73+H73+I73</f>
        <v>1.83</v>
      </c>
      <c r="K73" s="68"/>
    </row>
    <row r="74" spans="1:9" ht="12.75">
      <c r="A74" s="51" t="s">
        <v>104</v>
      </c>
      <c r="B74" s="39"/>
      <c r="C74" s="39"/>
      <c r="D74" s="39"/>
      <c r="E74" s="33"/>
      <c r="F74" s="36"/>
      <c r="G74" s="36"/>
      <c r="H74" s="37"/>
      <c r="I74" s="37"/>
    </row>
    <row r="75" spans="1:9" ht="12.75">
      <c r="A75" s="53" t="s">
        <v>7</v>
      </c>
      <c r="B75" s="56" t="s">
        <v>105</v>
      </c>
      <c r="C75" s="22"/>
      <c r="D75" s="18"/>
      <c r="E75" s="32"/>
      <c r="F75" s="36"/>
      <c r="G75" s="36"/>
      <c r="H75" s="37"/>
      <c r="I75" s="37"/>
    </row>
    <row r="76" spans="1:9" ht="12.75">
      <c r="A76" s="20" t="s">
        <v>9</v>
      </c>
      <c r="B76" s="20" t="s">
        <v>106</v>
      </c>
      <c r="C76" s="22" t="s">
        <v>107</v>
      </c>
      <c r="D76" s="18"/>
      <c r="E76" s="32"/>
      <c r="F76" s="36"/>
      <c r="G76" s="36"/>
      <c r="H76" s="37"/>
      <c r="I76" s="37"/>
    </row>
    <row r="77" spans="1:9" ht="12.75">
      <c r="A77" s="20" t="s">
        <v>12</v>
      </c>
      <c r="B77" s="21" t="s">
        <v>108</v>
      </c>
      <c r="C77" s="22" t="s">
        <v>109</v>
      </c>
      <c r="D77" s="18"/>
      <c r="E77" s="32"/>
      <c r="F77" s="36"/>
      <c r="G77" s="36"/>
      <c r="H77" s="37"/>
      <c r="I77" s="37"/>
    </row>
    <row r="78" spans="1:9" ht="12.75">
      <c r="A78" s="20" t="s">
        <v>15</v>
      </c>
      <c r="B78" s="21" t="s">
        <v>110</v>
      </c>
      <c r="C78" s="22" t="s">
        <v>107</v>
      </c>
      <c r="D78" s="18">
        <v>0</v>
      </c>
      <c r="E78" s="32">
        <v>0</v>
      </c>
      <c r="F78" s="36"/>
      <c r="G78" s="36"/>
      <c r="H78" s="37"/>
      <c r="I78" s="37"/>
    </row>
    <row r="79" spans="1:9" ht="12.75">
      <c r="A79" s="20" t="s">
        <v>31</v>
      </c>
      <c r="B79" s="56" t="s">
        <v>111</v>
      </c>
      <c r="C79" s="22"/>
      <c r="D79" s="18"/>
      <c r="E79" s="32"/>
      <c r="F79" s="36"/>
      <c r="G79" s="36"/>
      <c r="H79" s="37"/>
      <c r="I79" s="37"/>
    </row>
    <row r="80" spans="1:9" ht="25.5">
      <c r="A80" s="20"/>
      <c r="B80" s="21" t="s">
        <v>112</v>
      </c>
      <c r="C80" s="22" t="s">
        <v>113</v>
      </c>
      <c r="D80" s="18"/>
      <c r="E80" s="32"/>
      <c r="F80" s="36"/>
      <c r="G80" s="36"/>
      <c r="H80" s="37"/>
      <c r="I80" s="37"/>
    </row>
    <row r="81" spans="1:9" ht="25.5">
      <c r="A81" s="20"/>
      <c r="B81" s="21" t="s">
        <v>114</v>
      </c>
      <c r="C81" s="22" t="s">
        <v>113</v>
      </c>
      <c r="D81" s="18"/>
      <c r="E81" s="32">
        <v>0</v>
      </c>
      <c r="F81" s="36"/>
      <c r="G81" s="36"/>
      <c r="H81" s="37"/>
      <c r="I81" s="36"/>
    </row>
    <row r="82" spans="1:11" ht="12.75">
      <c r="A82" s="139" t="s">
        <v>147</v>
      </c>
      <c r="B82" s="140"/>
      <c r="C82" s="140"/>
      <c r="D82" s="141"/>
      <c r="E82" s="40">
        <f>SUM(E76:E81)</f>
        <v>0</v>
      </c>
      <c r="F82" s="41">
        <f>SUM(F76:F81)</f>
        <v>0</v>
      </c>
      <c r="G82" s="41">
        <f>SUM(G76:G81)</f>
        <v>0</v>
      </c>
      <c r="H82" s="42">
        <f>SUM(H76:H81)</f>
        <v>0</v>
      </c>
      <c r="I82" s="41">
        <f>SUM(I76:I81)</f>
        <v>0</v>
      </c>
      <c r="J82" s="68"/>
      <c r="K82" s="68"/>
    </row>
    <row r="83" spans="1:9" ht="12.75">
      <c r="A83" s="136" t="s">
        <v>115</v>
      </c>
      <c r="B83" s="136"/>
      <c r="C83" s="136"/>
      <c r="D83" s="136"/>
      <c r="E83" s="34"/>
      <c r="F83" s="36"/>
      <c r="G83" s="36"/>
      <c r="H83" s="37"/>
      <c r="I83" s="37"/>
    </row>
    <row r="84" spans="1:9" ht="12.75">
      <c r="A84" s="59">
        <v>1</v>
      </c>
      <c r="B84" s="53" t="s">
        <v>126</v>
      </c>
      <c r="C84" s="60" t="s">
        <v>127</v>
      </c>
      <c r="D84" s="52">
        <v>525.1</v>
      </c>
      <c r="E84" s="35">
        <f>D84*0.59*12/1000</f>
        <v>3.7177079999999996</v>
      </c>
      <c r="F84" s="36">
        <f>E84/4</f>
        <v>0.9294269999999999</v>
      </c>
      <c r="G84" s="36">
        <v>0.93</v>
      </c>
      <c r="H84" s="37">
        <v>0.93</v>
      </c>
      <c r="I84" s="37">
        <v>0.93</v>
      </c>
    </row>
    <row r="85" spans="1:9" ht="12.75">
      <c r="A85" s="59">
        <v>2</v>
      </c>
      <c r="B85" s="53" t="s">
        <v>116</v>
      </c>
      <c r="C85" s="60" t="s">
        <v>117</v>
      </c>
      <c r="D85" s="52">
        <v>0</v>
      </c>
      <c r="E85" s="31">
        <f>D85*1.06*2/1000</f>
        <v>0</v>
      </c>
      <c r="F85" s="36"/>
      <c r="G85" s="36"/>
      <c r="H85" s="37"/>
      <c r="I85" s="37"/>
    </row>
    <row r="86" spans="1:9" ht="25.5">
      <c r="A86" s="59">
        <v>3</v>
      </c>
      <c r="B86" s="61" t="s">
        <v>128</v>
      </c>
      <c r="C86" s="60"/>
      <c r="D86" s="52"/>
      <c r="E86" s="35">
        <v>10</v>
      </c>
      <c r="F86" s="36">
        <f>E86/4</f>
        <v>2.5</v>
      </c>
      <c r="G86" s="36">
        <v>2.5</v>
      </c>
      <c r="H86" s="37">
        <v>2.5</v>
      </c>
      <c r="I86" s="36">
        <v>2.5</v>
      </c>
    </row>
    <row r="87" spans="1:10" ht="12.75">
      <c r="A87" s="59">
        <v>4</v>
      </c>
      <c r="B87" s="63" t="s">
        <v>191</v>
      </c>
      <c r="C87" s="60" t="s">
        <v>127</v>
      </c>
      <c r="D87" s="52">
        <v>525.1</v>
      </c>
      <c r="E87" s="31">
        <v>4.882</v>
      </c>
      <c r="F87" s="36">
        <f>E87/4</f>
        <v>1.2205</v>
      </c>
      <c r="G87" s="36">
        <v>1.22</v>
      </c>
      <c r="H87" s="37">
        <v>1.22</v>
      </c>
      <c r="I87" s="36">
        <v>1.22</v>
      </c>
      <c r="J87" s="23"/>
    </row>
    <row r="88" spans="1:11" ht="12.75">
      <c r="A88" s="142" t="s">
        <v>149</v>
      </c>
      <c r="B88" s="140"/>
      <c r="C88" s="140"/>
      <c r="D88" s="141"/>
      <c r="E88" s="40">
        <f>SUM(E84:E87)</f>
        <v>18.599708</v>
      </c>
      <c r="F88" s="41">
        <f>SUM(F84:F87)</f>
        <v>4.649927</v>
      </c>
      <c r="G88" s="41">
        <f>SUM(G84:G87)</f>
        <v>4.65</v>
      </c>
      <c r="H88" s="42">
        <f>SUM(H84:H87)</f>
        <v>4.65</v>
      </c>
      <c r="I88" s="41">
        <f>SUM(I84:I87)</f>
        <v>4.65</v>
      </c>
      <c r="J88" s="72">
        <f>F88+G88+H88+I88</f>
        <v>18.599927</v>
      </c>
      <c r="K88" s="68"/>
    </row>
    <row r="89" spans="1:11" ht="12.75">
      <c r="A89" s="139" t="s">
        <v>150</v>
      </c>
      <c r="B89" s="140"/>
      <c r="C89" s="140"/>
      <c r="D89" s="141"/>
      <c r="E89" s="40">
        <f>E38+E73+E82+E88</f>
        <v>27.143468</v>
      </c>
      <c r="F89" s="41">
        <f>F38+F73+F82+F88</f>
        <v>10.109926999999999</v>
      </c>
      <c r="G89" s="41">
        <f>G38+G73+G82+G88</f>
        <v>6.90688</v>
      </c>
      <c r="H89" s="41">
        <f>H38+H73+H82+H88</f>
        <v>5.57688</v>
      </c>
      <c r="I89" s="41">
        <f>I38+I73+I82+I88</f>
        <v>4.65</v>
      </c>
      <c r="J89" s="24">
        <v>27.147</v>
      </c>
      <c r="K89" s="23">
        <f>E89-J89</f>
        <v>-0.0035319999999998686</v>
      </c>
    </row>
    <row r="90" spans="1:11" ht="25.5">
      <c r="A90" s="150">
        <v>1</v>
      </c>
      <c r="B90" s="62" t="s">
        <v>188</v>
      </c>
      <c r="C90" s="66" t="s">
        <v>107</v>
      </c>
      <c r="D90" s="52">
        <v>525.1</v>
      </c>
      <c r="E90" s="104">
        <f>D90*1.62*12/1000</f>
        <v>10.207944000000001</v>
      </c>
      <c r="F90" s="97">
        <f>E90/4</f>
        <v>2.5519860000000003</v>
      </c>
      <c r="G90" s="97">
        <v>2.6</v>
      </c>
      <c r="H90" s="97">
        <v>2.6</v>
      </c>
      <c r="I90" s="97">
        <v>2.6</v>
      </c>
      <c r="K90" s="23"/>
    </row>
    <row r="91" spans="1:11" ht="12.75">
      <c r="A91" s="151"/>
      <c r="B91" s="62" t="s">
        <v>183</v>
      </c>
      <c r="C91" s="66"/>
      <c r="D91" s="52"/>
      <c r="E91" s="104">
        <f>10.523-E90</f>
        <v>0.31505599999999845</v>
      </c>
      <c r="F91" s="97">
        <f>E91/4</f>
        <v>0.07876399999999961</v>
      </c>
      <c r="G91" s="97">
        <v>0.1</v>
      </c>
      <c r="H91" s="97">
        <v>0.1</v>
      </c>
      <c r="I91" s="97">
        <v>0.1</v>
      </c>
      <c r="K91" s="23"/>
    </row>
    <row r="92" spans="1:11" ht="12.75">
      <c r="A92" s="152"/>
      <c r="B92" s="82" t="s">
        <v>189</v>
      </c>
      <c r="C92" s="81"/>
      <c r="D92" s="41"/>
      <c r="E92" s="99">
        <f>SUM(E90:E91)</f>
        <v>10.523</v>
      </c>
      <c r="F92" s="100">
        <v>2.7</v>
      </c>
      <c r="G92" s="100">
        <f>SUM(G90:G91)</f>
        <v>2.7</v>
      </c>
      <c r="H92" s="100">
        <f>SUM(H90:H91)</f>
        <v>2.7</v>
      </c>
      <c r="I92" s="100">
        <f>SUM(I90:I91)</f>
        <v>2.7</v>
      </c>
      <c r="J92" s="108">
        <f>F92+G92+H92+I92</f>
        <v>10.8</v>
      </c>
      <c r="K92" s="23"/>
    </row>
    <row r="93" spans="1:11" ht="12.75">
      <c r="A93" s="126" t="s">
        <v>152</v>
      </c>
      <c r="B93" s="119"/>
      <c r="C93" s="119"/>
      <c r="D93" s="119"/>
      <c r="E93" s="105"/>
      <c r="F93" s="105"/>
      <c r="G93" s="105"/>
      <c r="H93" s="105"/>
      <c r="I93" s="105"/>
      <c r="K93" s="23"/>
    </row>
    <row r="94" spans="1:10" ht="15.75">
      <c r="A94" s="145" t="s">
        <v>153</v>
      </c>
      <c r="B94" s="146"/>
      <c r="C94" s="146"/>
      <c r="D94" s="146"/>
      <c r="E94" s="65">
        <f>E89+E92</f>
        <v>37.666467999999995</v>
      </c>
      <c r="F94" s="65">
        <f>F89+F92</f>
        <v>12.809926999999998</v>
      </c>
      <c r="G94" s="65">
        <f>G89+G92</f>
        <v>9.60688</v>
      </c>
      <c r="H94" s="65">
        <f>H89+H92</f>
        <v>8.27688</v>
      </c>
      <c r="I94" s="65">
        <f>I89+I92</f>
        <v>7.3500000000000005</v>
      </c>
      <c r="J94" s="23"/>
    </row>
    <row r="95" spans="1:9" ht="12.75">
      <c r="A95" s="124" t="s">
        <v>118</v>
      </c>
      <c r="B95" s="124"/>
      <c r="C95" s="124"/>
      <c r="D95" s="124"/>
      <c r="E95" s="125"/>
      <c r="F95" s="36"/>
      <c r="G95" s="36"/>
      <c r="H95" s="37"/>
      <c r="I95" s="37"/>
    </row>
    <row r="96" spans="1:9" ht="12.75">
      <c r="A96" s="53" t="s">
        <v>7</v>
      </c>
      <c r="B96" s="53" t="s">
        <v>119</v>
      </c>
      <c r="C96" s="66" t="s">
        <v>120</v>
      </c>
      <c r="D96" s="52">
        <v>110.691</v>
      </c>
      <c r="E96" s="31"/>
      <c r="F96" s="36"/>
      <c r="G96" s="36"/>
      <c r="H96" s="37"/>
      <c r="I96" s="37"/>
    </row>
    <row r="97" spans="1:9" ht="12.75">
      <c r="A97" s="53" t="s">
        <v>31</v>
      </c>
      <c r="B97" s="53" t="s">
        <v>121</v>
      </c>
      <c r="C97" s="66" t="s">
        <v>122</v>
      </c>
      <c r="D97" s="52">
        <f>12+4</f>
        <v>16</v>
      </c>
      <c r="E97" s="31"/>
      <c r="F97" s="36"/>
      <c r="G97" s="36"/>
      <c r="H97" s="37"/>
      <c r="I97" s="37"/>
    </row>
    <row r="98" spans="1:11" ht="12.75">
      <c r="A98" s="53" t="s">
        <v>39</v>
      </c>
      <c r="B98" s="53" t="s">
        <v>123</v>
      </c>
      <c r="C98" s="66" t="s">
        <v>122</v>
      </c>
      <c r="D98" s="52">
        <f>396+160+120+144+153+153+63+40+196+220+60+60+60+80</f>
        <v>1905</v>
      </c>
      <c r="E98" s="31"/>
      <c r="F98" s="36"/>
      <c r="G98" s="36"/>
      <c r="H98" s="37"/>
      <c r="I98" s="37"/>
      <c r="J98"/>
      <c r="K98"/>
    </row>
    <row r="99" spans="1:7" ht="12.75">
      <c r="A99" s="67"/>
      <c r="B99" s="67" t="s">
        <v>124</v>
      </c>
      <c r="C99" s="162" t="s">
        <v>176</v>
      </c>
      <c r="D99" s="163"/>
      <c r="E99" s="163"/>
      <c r="F99" s="23"/>
      <c r="G99" s="23"/>
    </row>
    <row r="100" spans="1:7" ht="12.75">
      <c r="A100" s="67"/>
      <c r="B100" s="67"/>
      <c r="C100" s="67"/>
      <c r="D100" s="25"/>
      <c r="E100" s="25"/>
      <c r="F100" s="23"/>
      <c r="G100" s="23"/>
    </row>
    <row r="101" spans="2:7" ht="12.75">
      <c r="B101" s="95" t="s">
        <v>194</v>
      </c>
      <c r="C101" s="24" t="s">
        <v>206</v>
      </c>
      <c r="D101" s="23"/>
      <c r="E101" s="23"/>
      <c r="F101" s="23"/>
      <c r="G101" s="23"/>
    </row>
  </sheetData>
  <mergeCells count="32">
    <mergeCell ref="A7:I7"/>
    <mergeCell ref="A8:I8"/>
    <mergeCell ref="A9:I9"/>
    <mergeCell ref="E2:I2"/>
    <mergeCell ref="E3:I3"/>
    <mergeCell ref="E4:I4"/>
    <mergeCell ref="E5:I5"/>
    <mergeCell ref="A10:A11"/>
    <mergeCell ref="B10:B11"/>
    <mergeCell ref="C10:C11"/>
    <mergeCell ref="D10:E10"/>
    <mergeCell ref="F10:F11"/>
    <mergeCell ref="G10:G11"/>
    <mergeCell ref="H10:H11"/>
    <mergeCell ref="I10:I11"/>
    <mergeCell ref="B13:E13"/>
    <mergeCell ref="B23:D23"/>
    <mergeCell ref="B26:D26"/>
    <mergeCell ref="A38:D38"/>
    <mergeCell ref="A39:D39"/>
    <mergeCell ref="B63:D63"/>
    <mergeCell ref="B65:D65"/>
    <mergeCell ref="A73:D73"/>
    <mergeCell ref="A82:D82"/>
    <mergeCell ref="A83:D83"/>
    <mergeCell ref="A88:D88"/>
    <mergeCell ref="A89:D89"/>
    <mergeCell ref="A90:A92"/>
    <mergeCell ref="A93:D93"/>
    <mergeCell ref="A95:E95"/>
    <mergeCell ref="C99:E99"/>
    <mergeCell ref="A94:D94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7"/>
  </sheetPr>
  <dimension ref="A1:K104"/>
  <sheetViews>
    <sheetView workbookViewId="0" topLeftCell="A49">
      <selection activeCell="A95" sqref="A95:D95"/>
    </sheetView>
  </sheetViews>
  <sheetFormatPr defaultColWidth="9.00390625" defaultRowHeight="12.75"/>
  <cols>
    <col min="1" max="1" width="4.375" style="24" customWidth="1"/>
    <col min="2" max="2" width="60.25390625" style="24" customWidth="1"/>
    <col min="3" max="3" width="23.00390625" style="24" customWidth="1"/>
    <col min="4" max="5" width="9.125" style="24" customWidth="1"/>
    <col min="6" max="6" width="8.75390625" style="24" customWidth="1"/>
    <col min="7" max="8" width="7.875" style="24" customWidth="1"/>
    <col min="9" max="9" width="8.25390625" style="24" customWidth="1"/>
    <col min="10" max="16384" width="9.125" style="24" customWidth="1"/>
  </cols>
  <sheetData>
    <row r="1" spans="1:5" ht="12.75">
      <c r="A1"/>
      <c r="B1"/>
      <c r="C1"/>
      <c r="D1"/>
      <c r="E1"/>
    </row>
    <row r="2" spans="2:9" ht="12.75">
      <c r="B2" s="107" t="s">
        <v>207</v>
      </c>
      <c r="E2" s="173" t="s">
        <v>159</v>
      </c>
      <c r="F2" s="173"/>
      <c r="G2" s="173"/>
      <c r="H2" s="173"/>
      <c r="I2" s="173"/>
    </row>
    <row r="3" spans="2:9" ht="12.75">
      <c r="B3" s="24" t="s">
        <v>204</v>
      </c>
      <c r="E3" s="173" t="s">
        <v>192</v>
      </c>
      <c r="F3" s="173"/>
      <c r="G3" s="173"/>
      <c r="H3" s="173"/>
      <c r="I3" s="173"/>
    </row>
    <row r="4" spans="2:9" ht="12.75">
      <c r="B4" s="24" t="s">
        <v>214</v>
      </c>
      <c r="E4" s="173" t="s">
        <v>160</v>
      </c>
      <c r="F4" s="173"/>
      <c r="G4" s="173"/>
      <c r="H4" s="173"/>
      <c r="I4" s="173"/>
    </row>
    <row r="5" spans="5:9" ht="12.75">
      <c r="E5" s="174" t="s">
        <v>193</v>
      </c>
      <c r="F5" s="173"/>
      <c r="G5" s="173"/>
      <c r="H5" s="173"/>
      <c r="I5" s="173"/>
    </row>
    <row r="7" spans="1:9" ht="12.75">
      <c r="A7" s="158" t="s">
        <v>125</v>
      </c>
      <c r="B7" s="158"/>
      <c r="C7" s="158"/>
      <c r="D7" s="158"/>
      <c r="E7" s="158"/>
      <c r="F7" s="158"/>
      <c r="G7" s="158"/>
      <c r="H7" s="158"/>
      <c r="I7" s="158"/>
    </row>
    <row r="8" spans="1:9" ht="12.75">
      <c r="A8" s="159" t="s">
        <v>172</v>
      </c>
      <c r="B8" s="158"/>
      <c r="C8" s="158"/>
      <c r="D8" s="158"/>
      <c r="E8" s="158"/>
      <c r="F8" s="158"/>
      <c r="G8" s="158"/>
      <c r="H8" s="158"/>
      <c r="I8" s="158"/>
    </row>
    <row r="9" spans="1:9" ht="12.75">
      <c r="A9" s="160" t="s">
        <v>178</v>
      </c>
      <c r="B9" s="160"/>
      <c r="C9" s="160"/>
      <c r="D9" s="160"/>
      <c r="E9" s="160"/>
      <c r="F9" s="160"/>
      <c r="G9" s="160"/>
      <c r="H9" s="160"/>
      <c r="I9" s="160"/>
    </row>
    <row r="11" spans="1:9" ht="12.75">
      <c r="A11" s="170" t="s">
        <v>0</v>
      </c>
      <c r="B11" s="170" t="s">
        <v>1</v>
      </c>
      <c r="C11" s="170" t="s">
        <v>2</v>
      </c>
      <c r="D11" s="171" t="s">
        <v>3</v>
      </c>
      <c r="E11" s="172"/>
      <c r="F11" s="166" t="s">
        <v>139</v>
      </c>
      <c r="G11" s="166" t="s">
        <v>140</v>
      </c>
      <c r="H11" s="166" t="s">
        <v>141</v>
      </c>
      <c r="I11" s="166" t="s">
        <v>142</v>
      </c>
    </row>
    <row r="12" spans="1:9" ht="38.25">
      <c r="A12" s="170"/>
      <c r="B12" s="170"/>
      <c r="C12" s="170"/>
      <c r="D12" s="50" t="s">
        <v>4</v>
      </c>
      <c r="E12" s="30" t="s">
        <v>5</v>
      </c>
      <c r="F12" s="167"/>
      <c r="G12" s="167"/>
      <c r="H12" s="167"/>
      <c r="I12" s="167"/>
    </row>
    <row r="13" spans="1:9" ht="12.75">
      <c r="A13" s="51" t="s">
        <v>6</v>
      </c>
      <c r="B13" s="51"/>
      <c r="C13" s="39"/>
      <c r="D13" s="52"/>
      <c r="E13" s="31"/>
      <c r="F13" s="36"/>
      <c r="G13" s="36"/>
      <c r="H13" s="37"/>
      <c r="I13" s="37"/>
    </row>
    <row r="14" spans="1:9" ht="12.75">
      <c r="A14" s="53" t="s">
        <v>7</v>
      </c>
      <c r="B14" s="164" t="s">
        <v>8</v>
      </c>
      <c r="C14" s="164"/>
      <c r="D14" s="164"/>
      <c r="E14" s="165"/>
      <c r="F14" s="36"/>
      <c r="G14" s="36"/>
      <c r="H14" s="37"/>
      <c r="I14" s="37"/>
    </row>
    <row r="15" spans="1:11" ht="12.75">
      <c r="A15" s="20" t="s">
        <v>9</v>
      </c>
      <c r="B15" s="20" t="s">
        <v>10</v>
      </c>
      <c r="C15" s="22" t="s">
        <v>11</v>
      </c>
      <c r="D15" s="18">
        <v>0.8</v>
      </c>
      <c r="E15" s="32">
        <f>D15*0.7</f>
        <v>0.5599999999999999</v>
      </c>
      <c r="F15" s="36"/>
      <c r="G15" s="36">
        <f aca="true" t="shared" si="0" ref="G15:G21">E15/2</f>
        <v>0.27999999999999997</v>
      </c>
      <c r="H15" s="36">
        <f>E15-G15</f>
        <v>0.27999999999999997</v>
      </c>
      <c r="I15" s="37"/>
      <c r="J15"/>
      <c r="K15"/>
    </row>
    <row r="16" spans="1:11" ht="12.75">
      <c r="A16" s="20" t="s">
        <v>12</v>
      </c>
      <c r="B16" s="21" t="s">
        <v>13</v>
      </c>
      <c r="C16" s="22" t="s">
        <v>14</v>
      </c>
      <c r="D16" s="18">
        <f>0.341*2</f>
        <v>0.682</v>
      </c>
      <c r="E16" s="32">
        <f>D16*0.23</f>
        <v>0.15686000000000003</v>
      </c>
      <c r="F16" s="36"/>
      <c r="G16" s="36">
        <f t="shared" si="0"/>
        <v>0.07843000000000001</v>
      </c>
      <c r="H16" s="36">
        <f aca="true" t="shared" si="1" ref="H16:H21">E16-G16</f>
        <v>0.07843000000000001</v>
      </c>
      <c r="I16" s="37"/>
      <c r="J16"/>
      <c r="K16"/>
    </row>
    <row r="17" spans="1:9" ht="12.75">
      <c r="A17" s="20" t="s">
        <v>15</v>
      </c>
      <c r="B17" s="21" t="s">
        <v>16</v>
      </c>
      <c r="C17" s="22" t="s">
        <v>14</v>
      </c>
      <c r="D17" s="18">
        <f>0.341*2</f>
        <v>0.682</v>
      </c>
      <c r="E17" s="32">
        <f>D17*0.4</f>
        <v>0.27280000000000004</v>
      </c>
      <c r="F17" s="36"/>
      <c r="G17" s="36">
        <f t="shared" si="0"/>
        <v>0.13640000000000002</v>
      </c>
      <c r="H17" s="36">
        <f t="shared" si="1"/>
        <v>0.13640000000000002</v>
      </c>
      <c r="I17" s="37"/>
    </row>
    <row r="18" spans="1:11" ht="26.25" customHeight="1">
      <c r="A18" s="20" t="s">
        <v>17</v>
      </c>
      <c r="B18" s="21" t="s">
        <v>18</v>
      </c>
      <c r="C18" s="22" t="s">
        <v>14</v>
      </c>
      <c r="D18" s="18">
        <f>0.341*2</f>
        <v>0.682</v>
      </c>
      <c r="E18" s="32">
        <f>D18*0.4</f>
        <v>0.27280000000000004</v>
      </c>
      <c r="F18" s="36"/>
      <c r="G18" s="36">
        <f t="shared" si="0"/>
        <v>0.13640000000000002</v>
      </c>
      <c r="H18" s="36">
        <f t="shared" si="1"/>
        <v>0.13640000000000002</v>
      </c>
      <c r="I18" s="37"/>
      <c r="J18"/>
      <c r="K18"/>
    </row>
    <row r="19" spans="1:11" ht="27.75" customHeight="1">
      <c r="A19" s="20" t="s">
        <v>19</v>
      </c>
      <c r="B19" s="21" t="s">
        <v>20</v>
      </c>
      <c r="C19" s="22" t="s">
        <v>14</v>
      </c>
      <c r="D19" s="18">
        <f>0.341*2</f>
        <v>0.682</v>
      </c>
      <c r="E19" s="32">
        <f>D19*0.3</f>
        <v>0.2046</v>
      </c>
      <c r="F19" s="36"/>
      <c r="G19" s="36">
        <f t="shared" si="0"/>
        <v>0.1023</v>
      </c>
      <c r="H19" s="36">
        <f t="shared" si="1"/>
        <v>0.1023</v>
      </c>
      <c r="I19" s="37"/>
      <c r="J19"/>
      <c r="K19"/>
    </row>
    <row r="20" spans="1:11" ht="12.75">
      <c r="A20" s="20" t="s">
        <v>21</v>
      </c>
      <c r="B20" s="21" t="s">
        <v>22</v>
      </c>
      <c r="C20" s="22" t="s">
        <v>14</v>
      </c>
      <c r="D20" s="18">
        <f>0.341*2</f>
        <v>0.682</v>
      </c>
      <c r="E20" s="32">
        <f>D20*0.4</f>
        <v>0.27280000000000004</v>
      </c>
      <c r="F20" s="36"/>
      <c r="G20" s="36">
        <f t="shared" si="0"/>
        <v>0.13640000000000002</v>
      </c>
      <c r="H20" s="36">
        <f t="shared" si="1"/>
        <v>0.13640000000000002</v>
      </c>
      <c r="I20" s="37"/>
      <c r="J20"/>
      <c r="K20"/>
    </row>
    <row r="21" spans="1:11" ht="12.75">
      <c r="A21" s="20" t="s">
        <v>23</v>
      </c>
      <c r="B21" s="20" t="s">
        <v>24</v>
      </c>
      <c r="C21" s="22" t="s">
        <v>25</v>
      </c>
      <c r="D21" s="18">
        <v>16</v>
      </c>
      <c r="E21" s="32">
        <f>16*0.2</f>
        <v>3.2</v>
      </c>
      <c r="F21" s="36"/>
      <c r="G21" s="36">
        <f t="shared" si="0"/>
        <v>1.6</v>
      </c>
      <c r="H21" s="36">
        <f t="shared" si="1"/>
        <v>1.6</v>
      </c>
      <c r="I21" s="37"/>
      <c r="J21"/>
      <c r="K21"/>
    </row>
    <row r="22" spans="1:11" ht="25.5">
      <c r="A22" s="20" t="s">
        <v>26</v>
      </c>
      <c r="B22" s="21" t="s">
        <v>27</v>
      </c>
      <c r="C22" s="22" t="s">
        <v>25</v>
      </c>
      <c r="D22" s="18"/>
      <c r="E22" s="32"/>
      <c r="F22" s="36"/>
      <c r="G22" s="36"/>
      <c r="H22" s="37"/>
      <c r="I22" s="37"/>
      <c r="J22"/>
      <c r="K22"/>
    </row>
    <row r="23" spans="1:11" ht="25.5">
      <c r="A23" s="20" t="s">
        <v>28</v>
      </c>
      <c r="B23" s="21" t="s">
        <v>29</v>
      </c>
      <c r="C23" s="22" t="s">
        <v>30</v>
      </c>
      <c r="D23" s="18"/>
      <c r="E23" s="32"/>
      <c r="F23" s="36"/>
      <c r="G23" s="36"/>
      <c r="H23" s="37"/>
      <c r="I23" s="37"/>
      <c r="J23"/>
      <c r="K23"/>
    </row>
    <row r="24" spans="1:11" ht="12.75">
      <c r="A24" s="20" t="s">
        <v>31</v>
      </c>
      <c r="B24" s="137" t="s">
        <v>32</v>
      </c>
      <c r="C24" s="138"/>
      <c r="D24" s="138"/>
      <c r="E24" s="26"/>
      <c r="F24" s="36"/>
      <c r="G24" s="36"/>
      <c r="H24" s="37"/>
      <c r="I24" s="37"/>
      <c r="J24"/>
      <c r="K24"/>
    </row>
    <row r="25" spans="1:11" ht="12.75">
      <c r="A25" s="20" t="s">
        <v>33</v>
      </c>
      <c r="B25" s="21" t="s">
        <v>34</v>
      </c>
      <c r="C25" s="54" t="s">
        <v>35</v>
      </c>
      <c r="D25" s="18"/>
      <c r="E25" s="32"/>
      <c r="F25" s="36"/>
      <c r="G25" s="36"/>
      <c r="H25" s="37"/>
      <c r="I25" s="37"/>
      <c r="J25"/>
      <c r="K25"/>
    </row>
    <row r="26" spans="1:11" ht="12.75">
      <c r="A26" s="20" t="s">
        <v>36</v>
      </c>
      <c r="B26" s="20" t="s">
        <v>37</v>
      </c>
      <c r="C26" s="54" t="s">
        <v>38</v>
      </c>
      <c r="D26" s="18"/>
      <c r="E26" s="32"/>
      <c r="F26" s="36"/>
      <c r="G26" s="36"/>
      <c r="H26" s="37"/>
      <c r="I26" s="37"/>
      <c r="J26"/>
      <c r="K26"/>
    </row>
    <row r="27" spans="1:11" ht="12.75">
      <c r="A27" s="20" t="s">
        <v>39</v>
      </c>
      <c r="B27" s="137" t="s">
        <v>32</v>
      </c>
      <c r="C27" s="138"/>
      <c r="D27" s="138"/>
      <c r="E27" s="26"/>
      <c r="F27" s="36"/>
      <c r="G27" s="36"/>
      <c r="H27" s="37"/>
      <c r="I27" s="37"/>
      <c r="J27"/>
      <c r="K27"/>
    </row>
    <row r="28" spans="1:11" ht="12.75">
      <c r="A28" s="20" t="s">
        <v>40</v>
      </c>
      <c r="B28" s="46" t="s">
        <v>138</v>
      </c>
      <c r="C28" s="54" t="s">
        <v>38</v>
      </c>
      <c r="D28" s="18">
        <v>0</v>
      </c>
      <c r="E28" s="32">
        <f>D28*0.1</f>
        <v>0</v>
      </c>
      <c r="F28" s="36"/>
      <c r="G28" s="36"/>
      <c r="H28" s="37"/>
      <c r="I28" s="37"/>
      <c r="J28"/>
      <c r="K28"/>
    </row>
    <row r="29" spans="1:11" ht="12.75">
      <c r="A29" s="20" t="s">
        <v>41</v>
      </c>
      <c r="B29" s="20" t="s">
        <v>42</v>
      </c>
      <c r="C29" s="54"/>
      <c r="D29" s="18"/>
      <c r="E29" s="32"/>
      <c r="F29" s="36"/>
      <c r="G29" s="36"/>
      <c r="H29" s="37"/>
      <c r="I29" s="37"/>
      <c r="J29"/>
      <c r="K29"/>
    </row>
    <row r="30" spans="1:11" ht="12.75">
      <c r="A30" s="20"/>
      <c r="B30" s="20" t="s">
        <v>43</v>
      </c>
      <c r="C30" s="54" t="s">
        <v>44</v>
      </c>
      <c r="D30" s="18">
        <v>0</v>
      </c>
      <c r="E30" s="32">
        <f>D30*0.05</f>
        <v>0</v>
      </c>
      <c r="F30" s="36"/>
      <c r="G30" s="36"/>
      <c r="H30" s="37"/>
      <c r="I30" s="37"/>
      <c r="J30"/>
      <c r="K30"/>
    </row>
    <row r="31" spans="1:11" ht="12.75">
      <c r="A31" s="20"/>
      <c r="B31" s="20" t="s">
        <v>45</v>
      </c>
      <c r="C31" s="54" t="s">
        <v>46</v>
      </c>
      <c r="D31" s="18"/>
      <c r="E31" s="32"/>
      <c r="F31" s="36"/>
      <c r="G31" s="36"/>
      <c r="H31" s="37"/>
      <c r="I31" s="37"/>
      <c r="J31"/>
      <c r="K31"/>
    </row>
    <row r="32" spans="1:11" ht="12.75">
      <c r="A32" s="20" t="s">
        <v>47</v>
      </c>
      <c r="B32" s="20" t="s">
        <v>48</v>
      </c>
      <c r="C32" s="54"/>
      <c r="D32" s="18"/>
      <c r="E32" s="32"/>
      <c r="F32" s="36"/>
      <c r="G32" s="36"/>
      <c r="H32" s="37"/>
      <c r="I32" s="37"/>
      <c r="J32"/>
      <c r="K32"/>
    </row>
    <row r="33" spans="1:11" ht="12.75">
      <c r="A33" s="20"/>
      <c r="B33" s="20" t="s">
        <v>49</v>
      </c>
      <c r="C33" s="54" t="s">
        <v>50</v>
      </c>
      <c r="D33" s="18"/>
      <c r="E33" s="32"/>
      <c r="F33" s="36"/>
      <c r="G33" s="36"/>
      <c r="H33" s="37"/>
      <c r="I33" s="37"/>
      <c r="J33"/>
      <c r="K33"/>
    </row>
    <row r="34" spans="1:11" ht="12.75">
      <c r="A34" s="20"/>
      <c r="B34" s="20" t="s">
        <v>51</v>
      </c>
      <c r="C34" s="54" t="s">
        <v>50</v>
      </c>
      <c r="D34" s="18"/>
      <c r="E34" s="32"/>
      <c r="F34" s="36"/>
      <c r="G34" s="36"/>
      <c r="H34" s="37"/>
      <c r="I34" s="37"/>
      <c r="J34"/>
      <c r="K34"/>
    </row>
    <row r="35" spans="1:11" ht="12.75">
      <c r="A35" s="20" t="s">
        <v>52</v>
      </c>
      <c r="B35" s="20" t="s">
        <v>53</v>
      </c>
      <c r="C35" s="54" t="s">
        <v>54</v>
      </c>
      <c r="D35" s="18">
        <v>400</v>
      </c>
      <c r="E35" s="32">
        <f>D35*0.0134</f>
        <v>5.36</v>
      </c>
      <c r="F35" s="36">
        <v>5.36</v>
      </c>
      <c r="G35" s="36"/>
      <c r="H35" s="37"/>
      <c r="I35" s="37"/>
      <c r="J35"/>
      <c r="K35"/>
    </row>
    <row r="36" spans="1:11" ht="12.75">
      <c r="A36" s="20" t="s">
        <v>99</v>
      </c>
      <c r="B36" s="20" t="s">
        <v>129</v>
      </c>
      <c r="C36" s="54" t="s">
        <v>130</v>
      </c>
      <c r="D36" s="18">
        <v>0</v>
      </c>
      <c r="E36" s="32">
        <f>D36*0.7</f>
        <v>0</v>
      </c>
      <c r="F36" s="36"/>
      <c r="G36" s="36"/>
      <c r="H36" s="37"/>
      <c r="I36" s="37"/>
      <c r="J36"/>
      <c r="K36"/>
    </row>
    <row r="37" spans="1:11" ht="12.75">
      <c r="A37" s="20" t="s">
        <v>102</v>
      </c>
      <c r="B37" s="20" t="s">
        <v>131</v>
      </c>
      <c r="C37" s="54" t="s">
        <v>132</v>
      </c>
      <c r="D37" s="18">
        <v>0</v>
      </c>
      <c r="E37" s="32">
        <v>0</v>
      </c>
      <c r="F37" s="36"/>
      <c r="G37" s="36"/>
      <c r="H37" s="37"/>
      <c r="I37" s="37"/>
      <c r="J37"/>
      <c r="K37"/>
    </row>
    <row r="38" spans="1:11" ht="12.75">
      <c r="A38" s="55" t="s">
        <v>103</v>
      </c>
      <c r="B38" s="21" t="s">
        <v>133</v>
      </c>
      <c r="C38" s="22" t="s">
        <v>61</v>
      </c>
      <c r="D38" s="18">
        <v>0</v>
      </c>
      <c r="E38" s="32">
        <v>0</v>
      </c>
      <c r="F38" s="36"/>
      <c r="G38" s="36"/>
      <c r="H38" s="37"/>
      <c r="I38" s="37"/>
      <c r="J38"/>
      <c r="K38"/>
    </row>
    <row r="39" spans="1:11" ht="12.75">
      <c r="A39" s="142" t="s">
        <v>145</v>
      </c>
      <c r="B39" s="140"/>
      <c r="C39" s="140"/>
      <c r="D39" s="141"/>
      <c r="E39" s="40">
        <f>SUM(E15:E38)</f>
        <v>10.29986</v>
      </c>
      <c r="F39" s="41">
        <f>SUM(F15:F38)</f>
        <v>5.36</v>
      </c>
      <c r="G39" s="41">
        <f>SUM(G15:G38)</f>
        <v>2.46993</v>
      </c>
      <c r="H39" s="41">
        <f>SUM(H15:H38)</f>
        <v>2.46993</v>
      </c>
      <c r="I39" s="41">
        <f>SUM(I15:I38)</f>
        <v>0</v>
      </c>
      <c r="J39" s="71">
        <f>F39+G39+H39+I39</f>
        <v>10.29986</v>
      </c>
      <c r="K39" s="43"/>
    </row>
    <row r="40" spans="1:9" ht="12.75">
      <c r="A40" s="147" t="s">
        <v>55</v>
      </c>
      <c r="B40" s="148"/>
      <c r="C40" s="148"/>
      <c r="D40" s="149"/>
      <c r="E40" s="39"/>
      <c r="F40" s="36"/>
      <c r="G40" s="36"/>
      <c r="H40" s="37"/>
      <c r="I40" s="37"/>
    </row>
    <row r="41" spans="1:9" ht="12.75">
      <c r="A41" s="53" t="s">
        <v>7</v>
      </c>
      <c r="B41" s="56" t="s">
        <v>8</v>
      </c>
      <c r="C41" s="20"/>
      <c r="D41" s="18"/>
      <c r="E41" s="32"/>
      <c r="F41" s="36"/>
      <c r="G41" s="36"/>
      <c r="H41" s="37"/>
      <c r="I41" s="37"/>
    </row>
    <row r="42" spans="1:9" ht="12.75">
      <c r="A42" s="20" t="s">
        <v>9</v>
      </c>
      <c r="B42" s="20" t="s">
        <v>56</v>
      </c>
      <c r="C42" s="20"/>
      <c r="D42" s="18"/>
      <c r="E42" s="32"/>
      <c r="F42" s="36"/>
      <c r="G42" s="36"/>
      <c r="H42" s="37"/>
      <c r="I42" s="37"/>
    </row>
    <row r="43" spans="1:9" ht="12.75">
      <c r="A43" s="20"/>
      <c r="B43" s="20" t="s">
        <v>57</v>
      </c>
      <c r="C43" s="22" t="s">
        <v>14</v>
      </c>
      <c r="D43" s="18">
        <v>0.341</v>
      </c>
      <c r="E43" s="32">
        <f>D43*1.1</f>
        <v>0.37510000000000004</v>
      </c>
      <c r="F43" s="36">
        <f>E43/2</f>
        <v>0.18755000000000002</v>
      </c>
      <c r="G43" s="36">
        <v>0.19</v>
      </c>
      <c r="H43" s="37"/>
      <c r="I43" s="36"/>
    </row>
    <row r="44" spans="1:9" ht="25.5">
      <c r="A44" s="20"/>
      <c r="B44" s="20" t="s">
        <v>58</v>
      </c>
      <c r="C44" s="22" t="s">
        <v>59</v>
      </c>
      <c r="D44" s="18">
        <v>0</v>
      </c>
      <c r="E44" s="32">
        <f>D44*0.4</f>
        <v>0</v>
      </c>
      <c r="F44" s="36"/>
      <c r="G44" s="36"/>
      <c r="H44" s="37"/>
      <c r="I44" s="37"/>
    </row>
    <row r="45" spans="1:9" ht="12.75">
      <c r="A45" s="20" t="s">
        <v>12</v>
      </c>
      <c r="B45" s="21" t="s">
        <v>60</v>
      </c>
      <c r="C45" s="22" t="s">
        <v>61</v>
      </c>
      <c r="D45" s="18">
        <v>16</v>
      </c>
      <c r="E45" s="32">
        <f>0.1*D45+0.09</f>
        <v>1.6900000000000002</v>
      </c>
      <c r="F45" s="36"/>
      <c r="G45" s="36"/>
      <c r="H45" s="37">
        <f>E45/2</f>
        <v>0.8450000000000001</v>
      </c>
      <c r="I45" s="36">
        <v>0.845</v>
      </c>
    </row>
    <row r="46" spans="1:9" ht="25.5">
      <c r="A46" s="20" t="s">
        <v>15</v>
      </c>
      <c r="B46" s="21" t="s">
        <v>62</v>
      </c>
      <c r="C46" s="22"/>
      <c r="D46" s="18"/>
      <c r="E46" s="32"/>
      <c r="F46" s="36"/>
      <c r="G46" s="36"/>
      <c r="H46" s="37"/>
      <c r="I46" s="37"/>
    </row>
    <row r="47" spans="1:11" ht="12.75">
      <c r="A47" s="20"/>
      <c r="B47" s="20" t="s">
        <v>57</v>
      </c>
      <c r="C47" s="22" t="s">
        <v>14</v>
      </c>
      <c r="D47" s="18">
        <v>0</v>
      </c>
      <c r="E47" s="32">
        <f>D47*0.9</f>
        <v>0</v>
      </c>
      <c r="F47" s="36"/>
      <c r="G47" s="36"/>
      <c r="H47" s="37"/>
      <c r="I47" s="36"/>
      <c r="J47"/>
      <c r="K47"/>
    </row>
    <row r="48" spans="1:9" ht="12.75">
      <c r="A48" s="20"/>
      <c r="B48" s="20" t="s">
        <v>63</v>
      </c>
      <c r="C48" s="22" t="s">
        <v>136</v>
      </c>
      <c r="D48" s="18">
        <v>0</v>
      </c>
      <c r="E48" s="32">
        <f>D48*0.01</f>
        <v>0</v>
      </c>
      <c r="F48" s="36"/>
      <c r="G48" s="36"/>
      <c r="H48" s="37"/>
      <c r="I48" s="37"/>
    </row>
    <row r="49" spans="1:9" ht="12.75">
      <c r="A49" s="20"/>
      <c r="B49" s="57" t="s">
        <v>158</v>
      </c>
      <c r="C49" s="22" t="s">
        <v>64</v>
      </c>
      <c r="D49" s="18"/>
      <c r="E49" s="32"/>
      <c r="F49" s="36"/>
      <c r="G49" s="36"/>
      <c r="H49" s="37"/>
      <c r="I49" s="37"/>
    </row>
    <row r="50" spans="1:9" ht="12.75">
      <c r="A50" s="20" t="s">
        <v>17</v>
      </c>
      <c r="B50" s="20" t="s">
        <v>65</v>
      </c>
      <c r="C50" s="22" t="s">
        <v>66</v>
      </c>
      <c r="D50" s="18">
        <v>0</v>
      </c>
      <c r="E50" s="32">
        <f>D50*0.025</f>
        <v>0</v>
      </c>
      <c r="F50" s="36"/>
      <c r="G50" s="36"/>
      <c r="H50" s="37"/>
      <c r="I50" s="37"/>
    </row>
    <row r="51" spans="1:9" ht="12.75">
      <c r="A51" s="20" t="s">
        <v>19</v>
      </c>
      <c r="B51" s="20" t="s">
        <v>67</v>
      </c>
      <c r="C51" s="22" t="s">
        <v>68</v>
      </c>
      <c r="D51" s="18">
        <v>0</v>
      </c>
      <c r="E51" s="32">
        <f>D51*0.04</f>
        <v>0</v>
      </c>
      <c r="F51" s="36"/>
      <c r="G51" s="36"/>
      <c r="H51" s="37"/>
      <c r="I51" s="37"/>
    </row>
    <row r="52" spans="1:9" ht="12.75">
      <c r="A52" s="20" t="s">
        <v>21</v>
      </c>
      <c r="B52" s="20" t="s">
        <v>69</v>
      </c>
      <c r="C52" s="22" t="s">
        <v>87</v>
      </c>
      <c r="D52" s="18">
        <v>0</v>
      </c>
      <c r="E52" s="32">
        <f>D52*0.068</f>
        <v>0</v>
      </c>
      <c r="F52" s="36"/>
      <c r="G52" s="36"/>
      <c r="H52" s="37"/>
      <c r="I52" s="36"/>
    </row>
    <row r="53" spans="1:9" ht="25.5">
      <c r="A53" s="46" t="s">
        <v>23</v>
      </c>
      <c r="B53" s="21" t="s">
        <v>71</v>
      </c>
      <c r="C53" s="22" t="s">
        <v>72</v>
      </c>
      <c r="D53" s="18">
        <v>4</v>
      </c>
      <c r="E53" s="32">
        <f>D53*0.05</f>
        <v>0.2</v>
      </c>
      <c r="F53" s="36"/>
      <c r="G53" s="36">
        <v>0.1</v>
      </c>
      <c r="H53" s="37">
        <v>0.1</v>
      </c>
      <c r="I53" s="37"/>
    </row>
    <row r="54" spans="1:9" ht="12.75">
      <c r="A54" s="20" t="s">
        <v>73</v>
      </c>
      <c r="B54" s="20" t="s">
        <v>74</v>
      </c>
      <c r="C54" s="22" t="s">
        <v>75</v>
      </c>
      <c r="D54" s="18">
        <v>0</v>
      </c>
      <c r="E54" s="32">
        <f>D54*0.1</f>
        <v>0</v>
      </c>
      <c r="F54" s="36"/>
      <c r="G54" s="36"/>
      <c r="H54" s="37"/>
      <c r="I54" s="37"/>
    </row>
    <row r="55" spans="1:9" ht="25.5">
      <c r="A55" s="20" t="s">
        <v>26</v>
      </c>
      <c r="B55" s="21" t="s">
        <v>77</v>
      </c>
      <c r="C55" s="22" t="s">
        <v>68</v>
      </c>
      <c r="D55" s="18">
        <v>2</v>
      </c>
      <c r="E55" s="32">
        <f>D55*0.032</f>
        <v>0.064</v>
      </c>
      <c r="F55" s="36">
        <v>0.06</v>
      </c>
      <c r="G55" s="36"/>
      <c r="H55" s="37"/>
      <c r="I55" s="36"/>
    </row>
    <row r="56" spans="1:9" ht="25.5">
      <c r="A56" s="20" t="s">
        <v>28</v>
      </c>
      <c r="B56" s="21" t="s">
        <v>79</v>
      </c>
      <c r="C56" s="22" t="s">
        <v>80</v>
      </c>
      <c r="D56" s="18"/>
      <c r="E56" s="32"/>
      <c r="F56" s="36"/>
      <c r="G56" s="36"/>
      <c r="H56" s="37"/>
      <c r="I56" s="37"/>
    </row>
    <row r="57" spans="1:9" ht="12.75">
      <c r="A57" s="20" t="s">
        <v>70</v>
      </c>
      <c r="B57" s="21" t="s">
        <v>82</v>
      </c>
      <c r="C57" s="22" t="s">
        <v>83</v>
      </c>
      <c r="D57" s="18">
        <v>10</v>
      </c>
      <c r="E57" s="32">
        <f>D57*0.02</f>
        <v>0.2</v>
      </c>
      <c r="F57" s="36">
        <v>0.1</v>
      </c>
      <c r="G57" s="36"/>
      <c r="H57" s="37">
        <v>0.1</v>
      </c>
      <c r="I57" s="37"/>
    </row>
    <row r="58" spans="1:9" ht="12.75">
      <c r="A58" s="20" t="s">
        <v>73</v>
      </c>
      <c r="B58" s="21" t="s">
        <v>154</v>
      </c>
      <c r="C58" s="22" t="s">
        <v>144</v>
      </c>
      <c r="D58" s="18">
        <v>6</v>
      </c>
      <c r="E58" s="32">
        <f>D58*0.128</f>
        <v>0.768</v>
      </c>
      <c r="F58" s="36"/>
      <c r="G58" s="36">
        <f>E58/2</f>
        <v>0.384</v>
      </c>
      <c r="H58" s="37"/>
      <c r="I58" s="37">
        <v>0.38</v>
      </c>
    </row>
    <row r="59" spans="1:9" ht="12.75">
      <c r="A59" s="20" t="s">
        <v>76</v>
      </c>
      <c r="B59" s="21" t="s">
        <v>155</v>
      </c>
      <c r="C59" s="22" t="s">
        <v>144</v>
      </c>
      <c r="D59" s="18">
        <v>2</v>
      </c>
      <c r="E59" s="32">
        <f>D59*0.152</f>
        <v>0.304</v>
      </c>
      <c r="F59" s="36"/>
      <c r="G59" s="36">
        <v>0.15</v>
      </c>
      <c r="H59" s="37"/>
      <c r="I59" s="37">
        <v>0.15</v>
      </c>
    </row>
    <row r="60" spans="1:9" ht="12.75">
      <c r="A60" s="46" t="s">
        <v>78</v>
      </c>
      <c r="B60" s="21" t="s">
        <v>84</v>
      </c>
      <c r="C60" s="22" t="s">
        <v>85</v>
      </c>
      <c r="D60" s="18">
        <v>2</v>
      </c>
      <c r="E60" s="32">
        <f>D60*0.1</f>
        <v>0.2</v>
      </c>
      <c r="F60" s="36">
        <v>0.1</v>
      </c>
      <c r="G60" s="36"/>
      <c r="H60" s="37">
        <v>0.1</v>
      </c>
      <c r="I60" s="36"/>
    </row>
    <row r="61" spans="1:9" ht="12.75">
      <c r="A61" s="46" t="s">
        <v>81</v>
      </c>
      <c r="B61" s="21" t="s">
        <v>86</v>
      </c>
      <c r="C61" s="22" t="s">
        <v>87</v>
      </c>
      <c r="D61" s="18">
        <v>0</v>
      </c>
      <c r="E61" s="32">
        <f>D61*0.03</f>
        <v>0</v>
      </c>
      <c r="F61" s="36"/>
      <c r="G61" s="36"/>
      <c r="H61" s="37"/>
      <c r="I61" s="37"/>
    </row>
    <row r="62" spans="1:9" ht="12.75">
      <c r="A62" s="46" t="s">
        <v>156</v>
      </c>
      <c r="B62" s="21" t="s">
        <v>88</v>
      </c>
      <c r="C62" s="22" t="s">
        <v>89</v>
      </c>
      <c r="D62" s="18">
        <v>0</v>
      </c>
      <c r="E62" s="32">
        <f>D62*0.02</f>
        <v>0</v>
      </c>
      <c r="F62" s="36"/>
      <c r="G62" s="36"/>
      <c r="H62" s="37"/>
      <c r="I62" s="37"/>
    </row>
    <row r="63" spans="1:9" ht="12.75">
      <c r="A63" s="46" t="s">
        <v>157</v>
      </c>
      <c r="B63" s="37" t="s">
        <v>143</v>
      </c>
      <c r="C63" s="37" t="s">
        <v>144</v>
      </c>
      <c r="D63" s="37">
        <v>6</v>
      </c>
      <c r="E63" s="37">
        <f>D63*0.15</f>
        <v>0.8999999999999999</v>
      </c>
      <c r="F63" s="36">
        <f>E63/4</f>
        <v>0.22499999999999998</v>
      </c>
      <c r="G63" s="36">
        <v>0.23</v>
      </c>
      <c r="H63" s="36">
        <v>0.23</v>
      </c>
      <c r="I63" s="36">
        <v>0.22</v>
      </c>
    </row>
    <row r="64" spans="1:9" ht="12.75">
      <c r="A64" s="20" t="s">
        <v>31</v>
      </c>
      <c r="B64" s="137" t="s">
        <v>32</v>
      </c>
      <c r="C64" s="138"/>
      <c r="D64" s="138"/>
      <c r="E64" s="26"/>
      <c r="F64" s="36"/>
      <c r="G64" s="36"/>
      <c r="H64" s="37"/>
      <c r="I64" s="37"/>
    </row>
    <row r="65" spans="1:9" ht="12.75">
      <c r="A65" s="20" t="s">
        <v>33</v>
      </c>
      <c r="B65" s="21" t="s">
        <v>90</v>
      </c>
      <c r="C65" s="22" t="s">
        <v>91</v>
      </c>
      <c r="D65" s="18">
        <v>0</v>
      </c>
      <c r="E65" s="32">
        <f>D65*0.2</f>
        <v>0</v>
      </c>
      <c r="F65" s="36"/>
      <c r="G65" s="36"/>
      <c r="H65" s="37"/>
      <c r="I65" s="37"/>
    </row>
    <row r="66" spans="1:9" ht="12.75">
      <c r="A66" s="20" t="s">
        <v>39</v>
      </c>
      <c r="B66" s="137" t="s">
        <v>32</v>
      </c>
      <c r="C66" s="138"/>
      <c r="D66" s="138"/>
      <c r="E66" s="26"/>
      <c r="F66" s="36"/>
      <c r="G66" s="36"/>
      <c r="H66" s="37"/>
      <c r="I66" s="37"/>
    </row>
    <row r="67" spans="1:9" ht="15.75" customHeight="1">
      <c r="A67" s="20" t="s">
        <v>40</v>
      </c>
      <c r="B67" s="21" t="s">
        <v>92</v>
      </c>
      <c r="C67" s="22" t="s">
        <v>93</v>
      </c>
      <c r="D67" s="18">
        <v>0</v>
      </c>
      <c r="E67" s="32">
        <f>D67*0.3</f>
        <v>0</v>
      </c>
      <c r="F67" s="36"/>
      <c r="G67" s="36"/>
      <c r="H67" s="37"/>
      <c r="I67" s="37"/>
    </row>
    <row r="68" spans="1:9" ht="12.75">
      <c r="A68" s="20" t="s">
        <v>41</v>
      </c>
      <c r="B68" s="21" t="s">
        <v>94</v>
      </c>
      <c r="C68" s="22" t="s">
        <v>95</v>
      </c>
      <c r="D68" s="18"/>
      <c r="E68" s="32"/>
      <c r="F68" s="36"/>
      <c r="G68" s="36"/>
      <c r="H68" s="37"/>
      <c r="I68" s="37"/>
    </row>
    <row r="69" spans="1:9" ht="12.75">
      <c r="A69" s="20" t="s">
        <v>47</v>
      </c>
      <c r="B69" s="21" t="s">
        <v>96</v>
      </c>
      <c r="C69" s="22" t="s">
        <v>97</v>
      </c>
      <c r="D69" s="18">
        <v>0</v>
      </c>
      <c r="E69" s="32">
        <f>D69*0.0976</f>
        <v>0</v>
      </c>
      <c r="F69" s="36"/>
      <c r="G69" s="36"/>
      <c r="H69" s="37"/>
      <c r="I69" s="37"/>
    </row>
    <row r="70" spans="1:9" ht="12.75">
      <c r="A70" s="20" t="s">
        <v>52</v>
      </c>
      <c r="B70" s="21" t="s">
        <v>98</v>
      </c>
      <c r="C70" s="22" t="s">
        <v>91</v>
      </c>
      <c r="D70" s="18">
        <v>0</v>
      </c>
      <c r="E70" s="32">
        <f>D70*0.874</f>
        <v>0</v>
      </c>
      <c r="F70" s="36"/>
      <c r="G70" s="36"/>
      <c r="H70" s="37"/>
      <c r="I70" s="37"/>
    </row>
    <row r="71" spans="1:9" ht="12.75">
      <c r="A71" s="20" t="s">
        <v>99</v>
      </c>
      <c r="B71" s="21" t="s">
        <v>100</v>
      </c>
      <c r="C71" s="22" t="s">
        <v>101</v>
      </c>
      <c r="D71" s="18">
        <v>0</v>
      </c>
      <c r="E71" s="32">
        <f>D71*0.1</f>
        <v>0</v>
      </c>
      <c r="F71" s="36"/>
      <c r="G71" s="36"/>
      <c r="H71" s="37"/>
      <c r="I71" s="37"/>
    </row>
    <row r="72" spans="1:9" ht="12.75">
      <c r="A72" s="20" t="s">
        <v>102</v>
      </c>
      <c r="B72" s="21" t="s">
        <v>134</v>
      </c>
      <c r="C72" s="22" t="s">
        <v>130</v>
      </c>
      <c r="D72" s="18">
        <v>1</v>
      </c>
      <c r="E72" s="32">
        <f>D72*0.85</f>
        <v>0.85</v>
      </c>
      <c r="F72" s="36"/>
      <c r="G72" s="36">
        <v>0.85</v>
      </c>
      <c r="H72" s="37"/>
      <c r="I72" s="36"/>
    </row>
    <row r="73" spans="1:9" ht="12.75">
      <c r="A73" s="20" t="s">
        <v>103</v>
      </c>
      <c r="B73" s="57" t="s">
        <v>135</v>
      </c>
      <c r="C73" s="58" t="s">
        <v>130</v>
      </c>
      <c r="D73" s="18">
        <v>0</v>
      </c>
      <c r="E73" s="32">
        <v>0</v>
      </c>
      <c r="F73" s="36"/>
      <c r="G73" s="36"/>
      <c r="H73" s="37"/>
      <c r="I73" s="37"/>
    </row>
    <row r="74" spans="1:11" ht="12.75">
      <c r="A74" s="142" t="s">
        <v>146</v>
      </c>
      <c r="B74" s="140"/>
      <c r="C74" s="140"/>
      <c r="D74" s="141"/>
      <c r="E74" s="40">
        <f>SUM(E43:E73)</f>
        <v>5.5511</v>
      </c>
      <c r="F74" s="41">
        <f>SUM(F42:F73)</f>
        <v>0.67255</v>
      </c>
      <c r="G74" s="41">
        <f>SUM(G42:G73)</f>
        <v>1.904</v>
      </c>
      <c r="H74" s="42">
        <f>SUM(H42:H73)</f>
        <v>1.3750000000000002</v>
      </c>
      <c r="I74" s="42">
        <f>SUM(I42:I73)</f>
        <v>1.595</v>
      </c>
      <c r="J74" s="72">
        <f>F74+G74+H74+I74</f>
        <v>5.54655</v>
      </c>
      <c r="K74" s="68"/>
    </row>
    <row r="75" spans="1:9" ht="12.75">
      <c r="A75" s="51" t="s">
        <v>104</v>
      </c>
      <c r="B75" s="39"/>
      <c r="C75" s="39"/>
      <c r="D75" s="39"/>
      <c r="E75" s="33"/>
      <c r="F75" s="36"/>
      <c r="G75" s="36"/>
      <c r="H75" s="37"/>
      <c r="I75" s="37"/>
    </row>
    <row r="76" spans="1:9" ht="12.75">
      <c r="A76" s="53" t="s">
        <v>7</v>
      </c>
      <c r="B76" s="56" t="s">
        <v>105</v>
      </c>
      <c r="C76" s="22"/>
      <c r="D76" s="18"/>
      <c r="E76" s="32"/>
      <c r="F76" s="36"/>
      <c r="G76" s="36"/>
      <c r="H76" s="37"/>
      <c r="I76" s="37"/>
    </row>
    <row r="77" spans="1:9" ht="12.75">
      <c r="A77" s="20" t="s">
        <v>9</v>
      </c>
      <c r="B77" s="20" t="s">
        <v>106</v>
      </c>
      <c r="C77" s="22" t="s">
        <v>107</v>
      </c>
      <c r="D77" s="18"/>
      <c r="E77" s="32"/>
      <c r="F77" s="36"/>
      <c r="G77" s="36"/>
      <c r="H77" s="37"/>
      <c r="I77" s="37"/>
    </row>
    <row r="78" spans="1:9" ht="12.75">
      <c r="A78" s="20" t="s">
        <v>12</v>
      </c>
      <c r="B78" s="21" t="s">
        <v>108</v>
      </c>
      <c r="C78" s="22" t="s">
        <v>109</v>
      </c>
      <c r="D78" s="18"/>
      <c r="E78" s="32"/>
      <c r="F78" s="36"/>
      <c r="G78" s="36"/>
      <c r="H78" s="37"/>
      <c r="I78" s="37"/>
    </row>
    <row r="79" spans="1:9" ht="12.75">
      <c r="A79" s="20" t="s">
        <v>15</v>
      </c>
      <c r="B79" s="21" t="s">
        <v>110</v>
      </c>
      <c r="C79" s="22" t="s">
        <v>107</v>
      </c>
      <c r="D79" s="18">
        <v>0</v>
      </c>
      <c r="E79" s="32">
        <v>0</v>
      </c>
      <c r="F79" s="36"/>
      <c r="G79" s="36"/>
      <c r="H79" s="37"/>
      <c r="I79" s="37"/>
    </row>
    <row r="80" spans="1:9" ht="12.75">
      <c r="A80" s="20" t="s">
        <v>31</v>
      </c>
      <c r="B80" s="56" t="s">
        <v>111</v>
      </c>
      <c r="C80" s="22"/>
      <c r="D80" s="18"/>
      <c r="E80" s="32"/>
      <c r="F80" s="36"/>
      <c r="G80" s="36"/>
      <c r="H80" s="37"/>
      <c r="I80" s="37"/>
    </row>
    <row r="81" spans="1:9" ht="25.5">
      <c r="A81" s="20"/>
      <c r="B81" s="21" t="s">
        <v>112</v>
      </c>
      <c r="C81" s="22" t="s">
        <v>113</v>
      </c>
      <c r="D81" s="18"/>
      <c r="E81" s="32"/>
      <c r="F81" s="36"/>
      <c r="G81" s="36"/>
      <c r="H81" s="37"/>
      <c r="I81" s="37"/>
    </row>
    <row r="82" spans="1:9" ht="25.5">
      <c r="A82" s="20"/>
      <c r="B82" s="21" t="s">
        <v>114</v>
      </c>
      <c r="C82" s="22" t="s">
        <v>113</v>
      </c>
      <c r="D82" s="18"/>
      <c r="E82" s="32">
        <v>0</v>
      </c>
      <c r="F82" s="36"/>
      <c r="G82" s="36"/>
      <c r="H82" s="37"/>
      <c r="I82" s="36"/>
    </row>
    <row r="83" spans="1:11" ht="12.75">
      <c r="A83" s="139" t="s">
        <v>147</v>
      </c>
      <c r="B83" s="140"/>
      <c r="C83" s="140"/>
      <c r="D83" s="141"/>
      <c r="E83" s="40">
        <f>SUM(E77:E82)</f>
        <v>0</v>
      </c>
      <c r="F83" s="41">
        <f>SUM(F77:F82)</f>
        <v>0</v>
      </c>
      <c r="G83" s="41">
        <f>SUM(G77:G82)</f>
        <v>0</v>
      </c>
      <c r="H83" s="42">
        <f>SUM(H77:H82)</f>
        <v>0</v>
      </c>
      <c r="I83" s="41">
        <f>SUM(I77:I82)</f>
        <v>0</v>
      </c>
      <c r="J83" s="68"/>
      <c r="K83" s="68"/>
    </row>
    <row r="84" spans="1:9" ht="12.75">
      <c r="A84" s="136" t="s">
        <v>115</v>
      </c>
      <c r="B84" s="136"/>
      <c r="C84" s="136"/>
      <c r="D84" s="136"/>
      <c r="E84" s="34"/>
      <c r="F84" s="36"/>
      <c r="G84" s="36"/>
      <c r="H84" s="37"/>
      <c r="I84" s="37"/>
    </row>
    <row r="85" spans="1:9" ht="12.75">
      <c r="A85" s="59">
        <v>1</v>
      </c>
      <c r="B85" s="53" t="s">
        <v>126</v>
      </c>
      <c r="C85" s="60" t="s">
        <v>127</v>
      </c>
      <c r="D85" s="52">
        <v>534.2</v>
      </c>
      <c r="E85" s="35">
        <f>D85*0.59*12/1000</f>
        <v>3.782136</v>
      </c>
      <c r="F85" s="36">
        <f>E85/4</f>
        <v>0.945534</v>
      </c>
      <c r="G85" s="36">
        <v>0.95</v>
      </c>
      <c r="H85" s="37">
        <v>0.95</v>
      </c>
      <c r="I85" s="36">
        <f>E85-F85-G85-H85</f>
        <v>0.9366020000000002</v>
      </c>
    </row>
    <row r="86" spans="1:9" ht="12.75">
      <c r="A86" s="59">
        <v>2</v>
      </c>
      <c r="B86" s="53" t="s">
        <v>116</v>
      </c>
      <c r="C86" s="60" t="s">
        <v>117</v>
      </c>
      <c r="D86" s="52">
        <v>0</v>
      </c>
      <c r="E86" s="31">
        <f>D86*1.06*2/1000</f>
        <v>0</v>
      </c>
      <c r="F86" s="36"/>
      <c r="G86" s="36"/>
      <c r="H86" s="37"/>
      <c r="I86" s="37"/>
    </row>
    <row r="87" spans="1:9" ht="25.5">
      <c r="A87" s="59">
        <v>3</v>
      </c>
      <c r="B87" s="61" t="s">
        <v>128</v>
      </c>
      <c r="C87" s="60"/>
      <c r="D87" s="52"/>
      <c r="E87" s="35">
        <v>10</v>
      </c>
      <c r="F87" s="36">
        <f>E87/4</f>
        <v>2.5</v>
      </c>
      <c r="G87" s="36">
        <v>2.5</v>
      </c>
      <c r="H87" s="37">
        <v>2.5</v>
      </c>
      <c r="I87" s="36">
        <v>2.5</v>
      </c>
    </row>
    <row r="88" spans="1:10" ht="12.75">
      <c r="A88" s="59">
        <v>4</v>
      </c>
      <c r="B88" s="63" t="s">
        <v>191</v>
      </c>
      <c r="C88" s="80">
        <v>0.149</v>
      </c>
      <c r="D88" s="52">
        <v>534.2</v>
      </c>
      <c r="E88" s="31">
        <v>4.966</v>
      </c>
      <c r="F88" s="36">
        <f>E88/4</f>
        <v>1.2415</v>
      </c>
      <c r="G88" s="36">
        <v>1.24</v>
      </c>
      <c r="H88" s="37">
        <v>1.24</v>
      </c>
      <c r="I88" s="36">
        <v>1.24</v>
      </c>
      <c r="J88" s="23">
        <f>F90+G90+H90+I90</f>
        <v>34.590046</v>
      </c>
    </row>
    <row r="89" spans="1:11" ht="12.75">
      <c r="A89" s="142" t="s">
        <v>149</v>
      </c>
      <c r="B89" s="140"/>
      <c r="C89" s="140"/>
      <c r="D89" s="141"/>
      <c r="E89" s="40">
        <f>SUM(E85:E88)</f>
        <v>18.748136</v>
      </c>
      <c r="F89" s="41">
        <f>SUM(F85:F88)</f>
        <v>4.687034</v>
      </c>
      <c r="G89" s="41">
        <f>SUM(G85:G88)</f>
        <v>4.69</v>
      </c>
      <c r="H89" s="42">
        <f>SUM(H85:H88)</f>
        <v>4.69</v>
      </c>
      <c r="I89" s="41">
        <f>SUM(I85:I88)</f>
        <v>4.676602</v>
      </c>
      <c r="J89" s="72">
        <f>F89+G89+H89+I89</f>
        <v>18.743636</v>
      </c>
      <c r="K89" s="68"/>
    </row>
    <row r="90" spans="1:11" ht="12.75">
      <c r="A90" s="139" t="s">
        <v>150</v>
      </c>
      <c r="B90" s="140"/>
      <c r="C90" s="140"/>
      <c r="D90" s="141"/>
      <c r="E90" s="40">
        <f>E39+E74+E83+E89</f>
        <v>34.599096</v>
      </c>
      <c r="F90" s="41">
        <f>F39+F74+F83+F89</f>
        <v>10.719584000000001</v>
      </c>
      <c r="G90" s="41">
        <f>G39+G74+G83+G89</f>
        <v>9.06393</v>
      </c>
      <c r="H90" s="41">
        <f>H39+H74+H83+H89</f>
        <v>8.534930000000001</v>
      </c>
      <c r="I90" s="41">
        <f>I39+I74+I83+I89</f>
        <v>6.271602</v>
      </c>
      <c r="J90" s="24">
        <v>34.6</v>
      </c>
      <c r="K90" s="23">
        <f>J90-E90</f>
        <v>0.0009039999999984616</v>
      </c>
    </row>
    <row r="91" spans="1:9" ht="12.75">
      <c r="A91" s="121" t="s">
        <v>151</v>
      </c>
      <c r="B91" s="122"/>
      <c r="C91" s="122"/>
      <c r="D91" s="122"/>
      <c r="E91" s="123"/>
      <c r="F91" s="36"/>
      <c r="G91" s="36"/>
      <c r="H91" s="37"/>
      <c r="I91" s="37"/>
    </row>
    <row r="92" spans="1:9" ht="25.5">
      <c r="A92" s="150">
        <v>1</v>
      </c>
      <c r="B92" s="62" t="s">
        <v>188</v>
      </c>
      <c r="C92" s="66" t="s">
        <v>107</v>
      </c>
      <c r="D92" s="52">
        <v>534.2</v>
      </c>
      <c r="E92" s="104">
        <f>D92*1.62*12/1000</f>
        <v>10.384848000000002</v>
      </c>
      <c r="F92" s="97">
        <f>E92/4</f>
        <v>2.5962120000000004</v>
      </c>
      <c r="G92" s="97">
        <v>2.6</v>
      </c>
      <c r="H92" s="97">
        <v>2.6</v>
      </c>
      <c r="I92" s="97">
        <v>2.6</v>
      </c>
    </row>
    <row r="93" spans="1:9" ht="12.75">
      <c r="A93" s="151"/>
      <c r="B93" s="62" t="s">
        <v>183</v>
      </c>
      <c r="C93" s="66"/>
      <c r="D93" s="52"/>
      <c r="E93" s="104">
        <f>10.705-E92</f>
        <v>0.32015199999999844</v>
      </c>
      <c r="F93" s="97">
        <f>E93/4</f>
        <v>0.08003799999999961</v>
      </c>
      <c r="G93" s="97">
        <v>0.1</v>
      </c>
      <c r="H93" s="97">
        <v>0.1</v>
      </c>
      <c r="I93" s="97">
        <v>0.1</v>
      </c>
    </row>
    <row r="94" spans="1:9" ht="12.75">
      <c r="A94" s="152"/>
      <c r="B94" s="82" t="s">
        <v>189</v>
      </c>
      <c r="C94" s="81"/>
      <c r="D94" s="41"/>
      <c r="E94" s="99">
        <f>SUM(E92:E93)</f>
        <v>10.705</v>
      </c>
      <c r="F94" s="100">
        <v>2.7</v>
      </c>
      <c r="G94" s="100">
        <f>SUM(G92:G93)</f>
        <v>2.7</v>
      </c>
      <c r="H94" s="100">
        <f>SUM(H92:H93)</f>
        <v>2.7</v>
      </c>
      <c r="I94" s="100">
        <f>SUM(I92:I93)</f>
        <v>2.7</v>
      </c>
    </row>
    <row r="95" spans="1:10" ht="12.75" customHeight="1">
      <c r="A95" s="126" t="s">
        <v>152</v>
      </c>
      <c r="B95" s="119"/>
      <c r="C95" s="119"/>
      <c r="D95" s="119"/>
      <c r="E95" s="65">
        <f>SUM(E94)</f>
        <v>10.705</v>
      </c>
      <c r="F95" s="41">
        <f>SUM(F94)</f>
        <v>2.7</v>
      </c>
      <c r="G95" s="41">
        <f>SUM(G94)</f>
        <v>2.7</v>
      </c>
      <c r="H95" s="100">
        <f>SUM(H94)</f>
        <v>2.7</v>
      </c>
      <c r="I95" s="41">
        <f>SUM(I94)</f>
        <v>2.7</v>
      </c>
      <c r="J95" s="23">
        <f>F95+G95+H95+I95</f>
        <v>10.8</v>
      </c>
    </row>
    <row r="96" spans="1:10" ht="15.75">
      <c r="A96" s="145" t="s">
        <v>153</v>
      </c>
      <c r="B96" s="146"/>
      <c r="C96" s="146"/>
      <c r="D96" s="146"/>
      <c r="E96" s="65">
        <f>E90+E95</f>
        <v>45.304096</v>
      </c>
      <c r="F96" s="65">
        <f>F90+F95</f>
        <v>13.419584</v>
      </c>
      <c r="G96" s="65">
        <f>G90+G95</f>
        <v>11.763929999999998</v>
      </c>
      <c r="H96" s="65">
        <f>H90+H95</f>
        <v>11.234930000000002</v>
      </c>
      <c r="I96" s="65">
        <f>I90+I95</f>
        <v>8.971602</v>
      </c>
      <c r="J96" s="23">
        <f>F96+G96+H96+I96</f>
        <v>45.390046</v>
      </c>
    </row>
    <row r="97" spans="1:9" ht="12.75">
      <c r="A97" s="124" t="s">
        <v>118</v>
      </c>
      <c r="B97" s="124"/>
      <c r="C97" s="124"/>
      <c r="D97" s="124"/>
      <c r="E97" s="125"/>
      <c r="F97" s="36"/>
      <c r="G97" s="36"/>
      <c r="H97" s="37"/>
      <c r="I97" s="37"/>
    </row>
    <row r="98" spans="1:9" ht="12.75">
      <c r="A98" s="53" t="s">
        <v>7</v>
      </c>
      <c r="B98" s="53" t="s">
        <v>119</v>
      </c>
      <c r="C98" s="66" t="s">
        <v>120</v>
      </c>
      <c r="D98" s="52">
        <v>107.698</v>
      </c>
      <c r="E98" s="31"/>
      <c r="F98" s="36"/>
      <c r="G98" s="36"/>
      <c r="H98" s="37"/>
      <c r="I98" s="37"/>
    </row>
    <row r="99" spans="1:9" ht="12.75">
      <c r="A99" s="53" t="s">
        <v>31</v>
      </c>
      <c r="B99" s="53" t="s">
        <v>121</v>
      </c>
      <c r="C99" s="66" t="s">
        <v>122</v>
      </c>
      <c r="D99" s="52">
        <f>12+4</f>
        <v>16</v>
      </c>
      <c r="E99" s="31"/>
      <c r="F99" s="36"/>
      <c r="G99" s="36"/>
      <c r="H99" s="37"/>
      <c r="I99" s="37"/>
    </row>
    <row r="100" spans="1:11" ht="12.75">
      <c r="A100" s="53" t="s">
        <v>39</v>
      </c>
      <c r="B100" s="53" t="s">
        <v>123</v>
      </c>
      <c r="C100" s="66" t="s">
        <v>122</v>
      </c>
      <c r="D100" s="52">
        <f>396+160+120+144+153+153+63+40+196+220+60+60+60</f>
        <v>1825</v>
      </c>
      <c r="E100" s="31"/>
      <c r="F100" s="36"/>
      <c r="G100" s="36"/>
      <c r="H100" s="37"/>
      <c r="I100" s="37"/>
      <c r="J100"/>
      <c r="K100"/>
    </row>
    <row r="101" spans="1:7" ht="12.75">
      <c r="A101" s="67"/>
      <c r="B101" s="67"/>
      <c r="C101" s="67"/>
      <c r="D101" s="25"/>
      <c r="E101" s="25"/>
      <c r="F101" s="23"/>
      <c r="G101" s="23"/>
    </row>
    <row r="102" spans="1:7" ht="12.75">
      <c r="A102" s="67"/>
      <c r="B102" s="67" t="s">
        <v>124</v>
      </c>
      <c r="C102" s="162" t="s">
        <v>176</v>
      </c>
      <c r="D102" s="163"/>
      <c r="E102" s="163"/>
      <c r="F102" s="23"/>
      <c r="G102" s="23"/>
    </row>
    <row r="103" spans="1:7" ht="12.75">
      <c r="A103" s="67"/>
      <c r="B103" s="67"/>
      <c r="C103" s="67"/>
      <c r="D103" s="25"/>
      <c r="E103" s="25"/>
      <c r="F103" s="23"/>
      <c r="G103" s="23"/>
    </row>
    <row r="104" spans="2:7" ht="12.75">
      <c r="B104" s="95" t="s">
        <v>194</v>
      </c>
      <c r="C104" s="24" t="s">
        <v>206</v>
      </c>
      <c r="D104" s="23"/>
      <c r="E104" s="23"/>
      <c r="F104" s="23"/>
      <c r="G104" s="23"/>
    </row>
  </sheetData>
  <mergeCells count="33">
    <mergeCell ref="A7:I7"/>
    <mergeCell ref="A8:I8"/>
    <mergeCell ref="A9:I9"/>
    <mergeCell ref="E2:I2"/>
    <mergeCell ref="E3:I3"/>
    <mergeCell ref="E4:I4"/>
    <mergeCell ref="E5:I5"/>
    <mergeCell ref="A11:A12"/>
    <mergeCell ref="B11:B12"/>
    <mergeCell ref="C11:C12"/>
    <mergeCell ref="D11:E11"/>
    <mergeCell ref="F11:F12"/>
    <mergeCell ref="G11:G12"/>
    <mergeCell ref="H11:H12"/>
    <mergeCell ref="I11:I12"/>
    <mergeCell ref="B14:E14"/>
    <mergeCell ref="B24:D24"/>
    <mergeCell ref="B27:D27"/>
    <mergeCell ref="A39:D39"/>
    <mergeCell ref="A40:D40"/>
    <mergeCell ref="B64:D64"/>
    <mergeCell ref="B66:D66"/>
    <mergeCell ref="A74:D74"/>
    <mergeCell ref="A83:D83"/>
    <mergeCell ref="A84:D84"/>
    <mergeCell ref="A89:D89"/>
    <mergeCell ref="A90:D90"/>
    <mergeCell ref="A97:E97"/>
    <mergeCell ref="C102:E102"/>
    <mergeCell ref="A91:E91"/>
    <mergeCell ref="A95:D95"/>
    <mergeCell ref="A96:D96"/>
    <mergeCell ref="A92:A94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7"/>
  </sheetPr>
  <dimension ref="A1:K104"/>
  <sheetViews>
    <sheetView workbookViewId="0" topLeftCell="A64">
      <selection activeCell="G102" sqref="G102"/>
    </sheetView>
  </sheetViews>
  <sheetFormatPr defaultColWidth="9.00390625" defaultRowHeight="12.75"/>
  <cols>
    <col min="1" max="1" width="4.625" style="24" customWidth="1"/>
    <col min="2" max="2" width="61.25390625" style="24" customWidth="1"/>
    <col min="3" max="3" width="25.125" style="24" customWidth="1"/>
    <col min="4" max="8" width="9.125" style="24" customWidth="1"/>
    <col min="9" max="9" width="9.875" style="24" customWidth="1"/>
    <col min="10" max="16384" width="9.125" style="24" customWidth="1"/>
  </cols>
  <sheetData>
    <row r="1" spans="1:5" ht="12.75">
      <c r="A1"/>
      <c r="B1"/>
      <c r="C1"/>
      <c r="D1"/>
      <c r="E1"/>
    </row>
    <row r="2" spans="2:9" ht="12.75">
      <c r="B2" s="107" t="s">
        <v>207</v>
      </c>
      <c r="E2" s="173" t="s">
        <v>159</v>
      </c>
      <c r="F2" s="173"/>
      <c r="G2" s="173"/>
      <c r="H2" s="173"/>
      <c r="I2" s="173"/>
    </row>
    <row r="3" spans="2:9" ht="12.75">
      <c r="B3" s="24" t="s">
        <v>204</v>
      </c>
      <c r="E3" s="173" t="s">
        <v>192</v>
      </c>
      <c r="F3" s="173"/>
      <c r="G3" s="173"/>
      <c r="H3" s="173"/>
      <c r="I3" s="173"/>
    </row>
    <row r="4" spans="2:9" ht="12.75">
      <c r="B4" s="24" t="s">
        <v>216</v>
      </c>
      <c r="E4" s="173" t="s">
        <v>160</v>
      </c>
      <c r="F4" s="173"/>
      <c r="G4" s="173"/>
      <c r="H4" s="173"/>
      <c r="I4" s="173"/>
    </row>
    <row r="5" spans="5:9" ht="12.75">
      <c r="E5" s="174" t="s">
        <v>193</v>
      </c>
      <c r="F5" s="173"/>
      <c r="G5" s="173"/>
      <c r="H5" s="173"/>
      <c r="I5" s="173"/>
    </row>
    <row r="7" spans="1:9" ht="12.75">
      <c r="A7" s="158" t="s">
        <v>125</v>
      </c>
      <c r="B7" s="158"/>
      <c r="C7" s="158"/>
      <c r="D7" s="158"/>
      <c r="E7" s="158"/>
      <c r="F7" s="158"/>
      <c r="G7" s="158"/>
      <c r="H7" s="158"/>
      <c r="I7" s="158"/>
    </row>
    <row r="8" spans="1:9" ht="12.75">
      <c r="A8" s="159" t="s">
        <v>173</v>
      </c>
      <c r="B8" s="158"/>
      <c r="C8" s="158"/>
      <c r="D8" s="158"/>
      <c r="E8" s="158"/>
      <c r="F8" s="158"/>
      <c r="G8" s="158"/>
      <c r="H8" s="158"/>
      <c r="I8" s="158"/>
    </row>
    <row r="9" spans="1:9" ht="12.75">
      <c r="A9" s="160" t="s">
        <v>178</v>
      </c>
      <c r="B9" s="160"/>
      <c r="C9" s="160"/>
      <c r="D9" s="160"/>
      <c r="E9" s="160"/>
      <c r="F9" s="160"/>
      <c r="G9" s="160"/>
      <c r="H9" s="160"/>
      <c r="I9" s="160"/>
    </row>
    <row r="11" spans="1:9" ht="12.75">
      <c r="A11" s="186" t="s">
        <v>0</v>
      </c>
      <c r="B11" s="170" t="s">
        <v>1</v>
      </c>
      <c r="C11" s="170" t="s">
        <v>2</v>
      </c>
      <c r="D11" s="171" t="s">
        <v>3</v>
      </c>
      <c r="E11" s="172"/>
      <c r="F11" s="153" t="s">
        <v>139</v>
      </c>
      <c r="G11" s="153" t="s">
        <v>140</v>
      </c>
      <c r="H11" s="155" t="s">
        <v>141</v>
      </c>
      <c r="I11" s="155" t="s">
        <v>142</v>
      </c>
    </row>
    <row r="12" spans="1:9" ht="38.25">
      <c r="A12" s="187"/>
      <c r="B12" s="170"/>
      <c r="C12" s="170"/>
      <c r="D12" s="50" t="s">
        <v>4</v>
      </c>
      <c r="E12" s="30" t="s">
        <v>5</v>
      </c>
      <c r="F12" s="154"/>
      <c r="G12" s="154"/>
      <c r="H12" s="156"/>
      <c r="I12" s="156"/>
    </row>
    <row r="13" spans="1:9" ht="12.75">
      <c r="A13" s="51" t="s">
        <v>6</v>
      </c>
      <c r="B13" s="51"/>
      <c r="C13" s="39"/>
      <c r="D13" s="52"/>
      <c r="E13" s="31"/>
      <c r="F13" s="36"/>
      <c r="G13" s="36"/>
      <c r="H13" s="37"/>
      <c r="I13" s="37"/>
    </row>
    <row r="14" spans="1:9" ht="12.75">
      <c r="A14" s="53" t="s">
        <v>7</v>
      </c>
      <c r="B14" s="164" t="s">
        <v>8</v>
      </c>
      <c r="C14" s="164"/>
      <c r="D14" s="164"/>
      <c r="E14" s="165"/>
      <c r="F14" s="36"/>
      <c r="G14" s="36"/>
      <c r="H14" s="37"/>
      <c r="I14" s="37"/>
    </row>
    <row r="15" spans="1:11" ht="12.75">
      <c r="A15" s="20" t="s">
        <v>9</v>
      </c>
      <c r="B15" s="20" t="s">
        <v>10</v>
      </c>
      <c r="C15" s="22" t="s">
        <v>11</v>
      </c>
      <c r="D15" s="18">
        <v>0.8</v>
      </c>
      <c r="E15" s="32">
        <f>D15*0.7</f>
        <v>0.5599999999999999</v>
      </c>
      <c r="F15" s="36"/>
      <c r="G15" s="36">
        <f aca="true" t="shared" si="0" ref="G15:G21">E15/2</f>
        <v>0.27999999999999997</v>
      </c>
      <c r="H15" s="36">
        <f>E15-G15</f>
        <v>0.27999999999999997</v>
      </c>
      <c r="I15" s="37"/>
      <c r="J15"/>
      <c r="K15"/>
    </row>
    <row r="16" spans="1:11" ht="12.75">
      <c r="A16" s="20" t="s">
        <v>12</v>
      </c>
      <c r="B16" s="21" t="s">
        <v>13</v>
      </c>
      <c r="C16" s="22" t="s">
        <v>14</v>
      </c>
      <c r="D16" s="18">
        <v>0.6</v>
      </c>
      <c r="E16" s="32">
        <f>D16*0.23</f>
        <v>0.138</v>
      </c>
      <c r="F16" s="36"/>
      <c r="G16" s="36">
        <f t="shared" si="0"/>
        <v>0.069</v>
      </c>
      <c r="H16" s="36">
        <f aca="true" t="shared" si="1" ref="H16:H21">E16-G16</f>
        <v>0.069</v>
      </c>
      <c r="I16" s="37"/>
      <c r="J16"/>
      <c r="K16"/>
    </row>
    <row r="17" spans="1:9" ht="12.75">
      <c r="A17" s="20" t="s">
        <v>15</v>
      </c>
      <c r="B17" s="21" t="s">
        <v>16</v>
      </c>
      <c r="C17" s="22" t="s">
        <v>14</v>
      </c>
      <c r="D17" s="18">
        <v>0.6</v>
      </c>
      <c r="E17" s="32">
        <f>D17*0.4</f>
        <v>0.24</v>
      </c>
      <c r="F17" s="36"/>
      <c r="G17" s="36">
        <f t="shared" si="0"/>
        <v>0.12</v>
      </c>
      <c r="H17" s="36">
        <f t="shared" si="1"/>
        <v>0.12</v>
      </c>
      <c r="I17" s="37"/>
    </row>
    <row r="18" spans="1:11" ht="25.5">
      <c r="A18" s="20" t="s">
        <v>17</v>
      </c>
      <c r="B18" s="21" t="s">
        <v>18</v>
      </c>
      <c r="C18" s="22" t="s">
        <v>14</v>
      </c>
      <c r="D18" s="18">
        <v>0.6</v>
      </c>
      <c r="E18" s="32">
        <f>D18*0.4</f>
        <v>0.24</v>
      </c>
      <c r="F18" s="36"/>
      <c r="G18" s="36">
        <f t="shared" si="0"/>
        <v>0.12</v>
      </c>
      <c r="H18" s="36">
        <f t="shared" si="1"/>
        <v>0.12</v>
      </c>
      <c r="I18" s="37"/>
      <c r="J18"/>
      <c r="K18"/>
    </row>
    <row r="19" spans="1:11" ht="25.5">
      <c r="A19" s="20" t="s">
        <v>19</v>
      </c>
      <c r="B19" s="21" t="s">
        <v>20</v>
      </c>
      <c r="C19" s="22" t="s">
        <v>14</v>
      </c>
      <c r="D19" s="18">
        <v>0.6</v>
      </c>
      <c r="E19" s="32">
        <f>D19*0.3</f>
        <v>0.18</v>
      </c>
      <c r="F19" s="36"/>
      <c r="G19" s="36">
        <f t="shared" si="0"/>
        <v>0.09</v>
      </c>
      <c r="H19" s="36">
        <f t="shared" si="1"/>
        <v>0.09</v>
      </c>
      <c r="I19" s="37"/>
      <c r="J19"/>
      <c r="K19"/>
    </row>
    <row r="20" spans="1:11" ht="12.75">
      <c r="A20" s="20" t="s">
        <v>21</v>
      </c>
      <c r="B20" s="21" t="s">
        <v>22</v>
      </c>
      <c r="C20" s="22" t="s">
        <v>14</v>
      </c>
      <c r="D20" s="18">
        <v>0.6</v>
      </c>
      <c r="E20" s="32">
        <f>D20*0.4</f>
        <v>0.24</v>
      </c>
      <c r="F20" s="36"/>
      <c r="G20" s="36">
        <f t="shared" si="0"/>
        <v>0.12</v>
      </c>
      <c r="H20" s="36">
        <f t="shared" si="1"/>
        <v>0.12</v>
      </c>
      <c r="I20" s="37"/>
      <c r="J20"/>
      <c r="K20"/>
    </row>
    <row r="21" spans="1:11" ht="12.75">
      <c r="A21" s="20" t="s">
        <v>23</v>
      </c>
      <c r="B21" s="20" t="s">
        <v>24</v>
      </c>
      <c r="C21" s="22" t="s">
        <v>25</v>
      </c>
      <c r="D21" s="18">
        <v>12</v>
      </c>
      <c r="E21" s="32">
        <f>D21*0.2</f>
        <v>2.4000000000000004</v>
      </c>
      <c r="F21" s="36"/>
      <c r="G21" s="36">
        <f t="shared" si="0"/>
        <v>1.2000000000000002</v>
      </c>
      <c r="H21" s="36">
        <f t="shared" si="1"/>
        <v>1.2000000000000002</v>
      </c>
      <c r="I21" s="37"/>
      <c r="J21"/>
      <c r="K21"/>
    </row>
    <row r="22" spans="1:11" ht="25.5">
      <c r="A22" s="20" t="s">
        <v>26</v>
      </c>
      <c r="B22" s="21" t="s">
        <v>27</v>
      </c>
      <c r="C22" s="22" t="s">
        <v>25</v>
      </c>
      <c r="D22" s="18"/>
      <c r="E22" s="32"/>
      <c r="F22" s="36"/>
      <c r="G22" s="36"/>
      <c r="H22" s="37"/>
      <c r="I22" s="37"/>
      <c r="J22"/>
      <c r="K22"/>
    </row>
    <row r="23" spans="1:11" ht="25.5">
      <c r="A23" s="20" t="s">
        <v>28</v>
      </c>
      <c r="B23" s="21" t="s">
        <v>29</v>
      </c>
      <c r="C23" s="22" t="s">
        <v>30</v>
      </c>
      <c r="D23" s="18"/>
      <c r="E23" s="32"/>
      <c r="F23" s="36"/>
      <c r="G23" s="36"/>
      <c r="H23" s="37"/>
      <c r="I23" s="37"/>
      <c r="J23"/>
      <c r="K23"/>
    </row>
    <row r="24" spans="1:11" ht="12.75">
      <c r="A24" s="20" t="s">
        <v>31</v>
      </c>
      <c r="B24" s="137" t="s">
        <v>32</v>
      </c>
      <c r="C24" s="138"/>
      <c r="D24" s="138"/>
      <c r="E24" s="26"/>
      <c r="F24" s="36"/>
      <c r="G24" s="36"/>
      <c r="H24" s="37"/>
      <c r="I24" s="37"/>
      <c r="J24"/>
      <c r="K24"/>
    </row>
    <row r="25" spans="1:11" ht="12.75">
      <c r="A25" s="20" t="s">
        <v>33</v>
      </c>
      <c r="B25" s="21" t="s">
        <v>34</v>
      </c>
      <c r="C25" s="54" t="s">
        <v>35</v>
      </c>
      <c r="D25" s="18"/>
      <c r="E25" s="32"/>
      <c r="F25" s="36"/>
      <c r="G25" s="36"/>
      <c r="H25" s="37"/>
      <c r="I25" s="37"/>
      <c r="J25"/>
      <c r="K25"/>
    </row>
    <row r="26" spans="1:11" ht="12.75">
      <c r="A26" s="20" t="s">
        <v>36</v>
      </c>
      <c r="B26" s="20" t="s">
        <v>37</v>
      </c>
      <c r="C26" s="54" t="s">
        <v>38</v>
      </c>
      <c r="D26" s="18"/>
      <c r="E26" s="32"/>
      <c r="F26" s="36"/>
      <c r="G26" s="36"/>
      <c r="H26" s="37"/>
      <c r="I26" s="37"/>
      <c r="J26"/>
      <c r="K26"/>
    </row>
    <row r="27" spans="1:11" ht="12.75">
      <c r="A27" s="20" t="s">
        <v>39</v>
      </c>
      <c r="B27" s="137" t="s">
        <v>32</v>
      </c>
      <c r="C27" s="138"/>
      <c r="D27" s="138"/>
      <c r="E27" s="26"/>
      <c r="F27" s="36"/>
      <c r="G27" s="36"/>
      <c r="H27" s="37"/>
      <c r="I27" s="37"/>
      <c r="J27"/>
      <c r="K27"/>
    </row>
    <row r="28" spans="1:11" ht="12.75">
      <c r="A28" s="20" t="s">
        <v>40</v>
      </c>
      <c r="B28" s="46" t="s">
        <v>138</v>
      </c>
      <c r="C28" s="54" t="s">
        <v>38</v>
      </c>
      <c r="D28" s="18">
        <v>0</v>
      </c>
      <c r="E28" s="32">
        <f>D28*0.1</f>
        <v>0</v>
      </c>
      <c r="F28" s="36"/>
      <c r="G28" s="36"/>
      <c r="H28" s="37"/>
      <c r="I28" s="37"/>
      <c r="J28"/>
      <c r="K28"/>
    </row>
    <row r="29" spans="1:11" ht="12.75">
      <c r="A29" s="20" t="s">
        <v>41</v>
      </c>
      <c r="B29" s="20" t="s">
        <v>42</v>
      </c>
      <c r="C29" s="54"/>
      <c r="D29" s="18"/>
      <c r="E29" s="32"/>
      <c r="F29" s="36"/>
      <c r="G29" s="36"/>
      <c r="H29" s="37"/>
      <c r="I29" s="37"/>
      <c r="J29"/>
      <c r="K29"/>
    </row>
    <row r="30" spans="1:11" ht="12.75">
      <c r="A30" s="20"/>
      <c r="B30" s="20" t="s">
        <v>43</v>
      </c>
      <c r="C30" s="54" t="s">
        <v>44</v>
      </c>
      <c r="D30" s="18">
        <v>0</v>
      </c>
      <c r="E30" s="32">
        <f>D30*0.05</f>
        <v>0</v>
      </c>
      <c r="F30" s="36"/>
      <c r="G30" s="36"/>
      <c r="H30" s="37"/>
      <c r="I30" s="37"/>
      <c r="J30"/>
      <c r="K30"/>
    </row>
    <row r="31" spans="1:11" ht="12.75">
      <c r="A31" s="20"/>
      <c r="B31" s="20" t="s">
        <v>45</v>
      </c>
      <c r="C31" s="54" t="s">
        <v>46</v>
      </c>
      <c r="D31" s="18"/>
      <c r="E31" s="32"/>
      <c r="F31" s="36"/>
      <c r="G31" s="36"/>
      <c r="H31" s="37"/>
      <c r="I31" s="37"/>
      <c r="J31"/>
      <c r="K31"/>
    </row>
    <row r="32" spans="1:11" ht="12.75">
      <c r="A32" s="20" t="s">
        <v>47</v>
      </c>
      <c r="B32" s="20" t="s">
        <v>48</v>
      </c>
      <c r="C32" s="54"/>
      <c r="D32" s="18"/>
      <c r="E32" s="32"/>
      <c r="F32" s="36"/>
      <c r="G32" s="36"/>
      <c r="H32" s="37"/>
      <c r="I32" s="37"/>
      <c r="J32"/>
      <c r="K32"/>
    </row>
    <row r="33" spans="1:11" ht="12.75">
      <c r="A33" s="20"/>
      <c r="B33" s="20" t="s">
        <v>49</v>
      </c>
      <c r="C33" s="54" t="s">
        <v>50</v>
      </c>
      <c r="D33" s="18"/>
      <c r="E33" s="32"/>
      <c r="F33" s="36"/>
      <c r="G33" s="36"/>
      <c r="H33" s="37"/>
      <c r="I33" s="37"/>
      <c r="J33"/>
      <c r="K33"/>
    </row>
    <row r="34" spans="1:11" ht="12.75">
      <c r="A34" s="20"/>
      <c r="B34" s="20" t="s">
        <v>51</v>
      </c>
      <c r="C34" s="54" t="s">
        <v>50</v>
      </c>
      <c r="D34" s="18"/>
      <c r="E34" s="32"/>
      <c r="F34" s="36"/>
      <c r="G34" s="36"/>
      <c r="H34" s="37"/>
      <c r="I34" s="37"/>
      <c r="J34"/>
      <c r="K34"/>
    </row>
    <row r="35" spans="1:11" ht="12.75">
      <c r="A35" s="20" t="s">
        <v>52</v>
      </c>
      <c r="B35" s="20" t="s">
        <v>53</v>
      </c>
      <c r="C35" s="54" t="s">
        <v>54</v>
      </c>
      <c r="D35" s="18">
        <v>400</v>
      </c>
      <c r="E35" s="32">
        <f>D35*0.0134+0.37</f>
        <v>5.73</v>
      </c>
      <c r="F35" s="36">
        <v>5.73</v>
      </c>
      <c r="G35" s="36"/>
      <c r="H35" s="37"/>
      <c r="I35" s="37"/>
      <c r="J35"/>
      <c r="K35"/>
    </row>
    <row r="36" spans="1:11" ht="12.75">
      <c r="A36" s="20" t="s">
        <v>99</v>
      </c>
      <c r="B36" s="20" t="s">
        <v>129</v>
      </c>
      <c r="C36" s="54" t="s">
        <v>130</v>
      </c>
      <c r="D36" s="18">
        <v>0</v>
      </c>
      <c r="E36" s="32">
        <f>D36*0.7</f>
        <v>0</v>
      </c>
      <c r="F36" s="36"/>
      <c r="G36" s="36"/>
      <c r="H36" s="37"/>
      <c r="I36" s="37"/>
      <c r="J36"/>
      <c r="K36"/>
    </row>
    <row r="37" spans="1:11" ht="12.75">
      <c r="A37" s="20" t="s">
        <v>102</v>
      </c>
      <c r="B37" s="20" t="s">
        <v>131</v>
      </c>
      <c r="C37" s="54" t="s">
        <v>132</v>
      </c>
      <c r="D37" s="18">
        <v>0</v>
      </c>
      <c r="E37" s="32">
        <v>0</v>
      </c>
      <c r="F37" s="36"/>
      <c r="G37" s="36"/>
      <c r="H37" s="37"/>
      <c r="I37" s="37"/>
      <c r="J37"/>
      <c r="K37"/>
    </row>
    <row r="38" spans="1:11" ht="12.75">
      <c r="A38" s="55" t="s">
        <v>103</v>
      </c>
      <c r="B38" s="21" t="s">
        <v>133</v>
      </c>
      <c r="C38" s="22" t="s">
        <v>61</v>
      </c>
      <c r="D38" s="18">
        <v>0</v>
      </c>
      <c r="E38" s="32">
        <v>0</v>
      </c>
      <c r="F38" s="36"/>
      <c r="G38" s="36"/>
      <c r="H38" s="37"/>
      <c r="I38" s="37"/>
      <c r="J38"/>
      <c r="K38"/>
    </row>
    <row r="39" spans="1:11" ht="12.75">
      <c r="A39" s="142" t="s">
        <v>145</v>
      </c>
      <c r="B39" s="140"/>
      <c r="C39" s="140"/>
      <c r="D39" s="141"/>
      <c r="E39" s="40">
        <f>SUM(E15:E38)</f>
        <v>9.728000000000002</v>
      </c>
      <c r="F39" s="41">
        <f>SUM(F15:F38)</f>
        <v>5.73</v>
      </c>
      <c r="G39" s="41">
        <f>SUM(G15:G38)</f>
        <v>1.999</v>
      </c>
      <c r="H39" s="41">
        <f>SUM(H15:H38)</f>
        <v>1.999</v>
      </c>
      <c r="I39" s="42">
        <f>SUM(I15:I38)</f>
        <v>0</v>
      </c>
      <c r="J39" s="71">
        <f>F39+G39+H39+I39</f>
        <v>9.728000000000002</v>
      </c>
      <c r="K39" s="43"/>
    </row>
    <row r="40" spans="1:9" ht="12.75">
      <c r="A40" s="147" t="s">
        <v>55</v>
      </c>
      <c r="B40" s="148"/>
      <c r="C40" s="148"/>
      <c r="D40" s="149"/>
      <c r="E40" s="39"/>
      <c r="F40" s="36"/>
      <c r="G40" s="36"/>
      <c r="H40" s="37"/>
      <c r="I40" s="37"/>
    </row>
    <row r="41" spans="1:9" ht="12.75">
      <c r="A41" s="53" t="s">
        <v>7</v>
      </c>
      <c r="B41" s="56" t="s">
        <v>8</v>
      </c>
      <c r="C41" s="20"/>
      <c r="D41" s="18"/>
      <c r="E41" s="32"/>
      <c r="F41" s="36"/>
      <c r="G41" s="36"/>
      <c r="H41" s="37"/>
      <c r="I41" s="37"/>
    </row>
    <row r="42" spans="1:9" ht="12.75">
      <c r="A42" s="20" t="s">
        <v>9</v>
      </c>
      <c r="B42" s="20" t="s">
        <v>56</v>
      </c>
      <c r="C42" s="20"/>
      <c r="D42" s="18"/>
      <c r="E42" s="32"/>
      <c r="F42" s="36"/>
      <c r="G42" s="36"/>
      <c r="H42" s="37"/>
      <c r="I42" s="37"/>
    </row>
    <row r="43" spans="1:9" ht="12.75">
      <c r="A43" s="20"/>
      <c r="B43" s="20" t="s">
        <v>57</v>
      </c>
      <c r="C43" s="22" t="s">
        <v>14</v>
      </c>
      <c r="D43" s="18">
        <v>0</v>
      </c>
      <c r="E43" s="32">
        <f>D43*1.1</f>
        <v>0</v>
      </c>
      <c r="F43" s="36"/>
      <c r="G43" s="36"/>
      <c r="H43" s="37"/>
      <c r="I43" s="36"/>
    </row>
    <row r="44" spans="1:9" ht="25.5">
      <c r="A44" s="20"/>
      <c r="B44" s="20" t="s">
        <v>58</v>
      </c>
      <c r="C44" s="22" t="s">
        <v>59</v>
      </c>
      <c r="D44" s="18">
        <v>0</v>
      </c>
      <c r="E44" s="32">
        <f>D44*0.4</f>
        <v>0</v>
      </c>
      <c r="F44" s="36"/>
      <c r="G44" s="36"/>
      <c r="H44" s="37"/>
      <c r="I44" s="37"/>
    </row>
    <row r="45" spans="1:9" ht="12.75">
      <c r="A45" s="20" t="s">
        <v>12</v>
      </c>
      <c r="B45" s="21" t="s">
        <v>60</v>
      </c>
      <c r="C45" s="22" t="s">
        <v>61</v>
      </c>
      <c r="D45" s="18">
        <v>0</v>
      </c>
      <c r="E45" s="32">
        <f>0.1*D45</f>
        <v>0</v>
      </c>
      <c r="F45" s="36"/>
      <c r="G45" s="36"/>
      <c r="H45" s="37"/>
      <c r="I45" s="36"/>
    </row>
    <row r="46" spans="1:9" ht="25.5">
      <c r="A46" s="20" t="s">
        <v>15</v>
      </c>
      <c r="B46" s="21" t="s">
        <v>62</v>
      </c>
      <c r="C46" s="22"/>
      <c r="D46" s="18"/>
      <c r="E46" s="32"/>
      <c r="F46" s="36"/>
      <c r="G46" s="36"/>
      <c r="H46" s="37"/>
      <c r="I46" s="37"/>
    </row>
    <row r="47" spans="1:11" ht="12.75">
      <c r="A47" s="20"/>
      <c r="B47" s="20" t="s">
        <v>57</v>
      </c>
      <c r="C47" s="22" t="s">
        <v>14</v>
      </c>
      <c r="D47" s="18">
        <v>0</v>
      </c>
      <c r="E47" s="32">
        <f>D47*0.9</f>
        <v>0</v>
      </c>
      <c r="F47" s="36"/>
      <c r="G47" s="36"/>
      <c r="H47" s="37"/>
      <c r="I47" s="36"/>
      <c r="J47"/>
      <c r="K47"/>
    </row>
    <row r="48" spans="1:9" ht="12.75">
      <c r="A48" s="20"/>
      <c r="B48" s="20" t="s">
        <v>63</v>
      </c>
      <c r="C48" s="22" t="s">
        <v>136</v>
      </c>
      <c r="D48" s="18">
        <v>0</v>
      </c>
      <c r="E48" s="32">
        <f>D48*0.01</f>
        <v>0</v>
      </c>
      <c r="F48" s="36"/>
      <c r="G48" s="36"/>
      <c r="H48" s="37"/>
      <c r="I48" s="37"/>
    </row>
    <row r="49" spans="1:9" ht="12.75">
      <c r="A49" s="20"/>
      <c r="B49" s="57" t="s">
        <v>158</v>
      </c>
      <c r="C49" s="22" t="s">
        <v>64</v>
      </c>
      <c r="D49" s="18"/>
      <c r="E49" s="32"/>
      <c r="F49" s="36"/>
      <c r="G49" s="36"/>
      <c r="H49" s="37"/>
      <c r="I49" s="37"/>
    </row>
    <row r="50" spans="1:9" ht="12.75">
      <c r="A50" s="20" t="s">
        <v>17</v>
      </c>
      <c r="B50" s="20" t="s">
        <v>65</v>
      </c>
      <c r="C50" s="22" t="s">
        <v>66</v>
      </c>
      <c r="D50" s="18">
        <v>0</v>
      </c>
      <c r="E50" s="32">
        <f>D50*0.025</f>
        <v>0</v>
      </c>
      <c r="F50" s="36"/>
      <c r="G50" s="36"/>
      <c r="H50" s="37"/>
      <c r="I50" s="37"/>
    </row>
    <row r="51" spans="1:9" ht="12.75">
      <c r="A51" s="20" t="s">
        <v>19</v>
      </c>
      <c r="B51" s="20" t="s">
        <v>67</v>
      </c>
      <c r="C51" s="22" t="s">
        <v>68</v>
      </c>
      <c r="D51" s="18">
        <v>0</v>
      </c>
      <c r="E51" s="32">
        <f>D51*0.04</f>
        <v>0</v>
      </c>
      <c r="F51" s="36"/>
      <c r="G51" s="36"/>
      <c r="H51" s="37"/>
      <c r="I51" s="37"/>
    </row>
    <row r="52" spans="1:9" ht="12.75">
      <c r="A52" s="20" t="s">
        <v>21</v>
      </c>
      <c r="B52" s="20" t="s">
        <v>69</v>
      </c>
      <c r="C52" s="22" t="s">
        <v>87</v>
      </c>
      <c r="D52" s="18">
        <v>0</v>
      </c>
      <c r="E52" s="32">
        <f>D52*0.068</f>
        <v>0</v>
      </c>
      <c r="F52" s="36"/>
      <c r="G52" s="36"/>
      <c r="H52" s="37"/>
      <c r="I52" s="36"/>
    </row>
    <row r="53" spans="1:9" ht="12.75">
      <c r="A53" s="46" t="s">
        <v>23</v>
      </c>
      <c r="B53" s="21" t="s">
        <v>71</v>
      </c>
      <c r="C53" s="22" t="s">
        <v>72</v>
      </c>
      <c r="D53" s="18">
        <v>0</v>
      </c>
      <c r="E53" s="32">
        <f>D53*0.05</f>
        <v>0</v>
      </c>
      <c r="F53" s="36"/>
      <c r="G53" s="36"/>
      <c r="H53" s="37"/>
      <c r="I53" s="37"/>
    </row>
    <row r="54" spans="1:9" ht="12.75">
      <c r="A54" s="20" t="s">
        <v>73</v>
      </c>
      <c r="B54" s="20" t="s">
        <v>74</v>
      </c>
      <c r="C54" s="22" t="s">
        <v>75</v>
      </c>
      <c r="D54" s="18">
        <v>0</v>
      </c>
      <c r="E54" s="32">
        <f>D54*0.1</f>
        <v>0</v>
      </c>
      <c r="F54" s="36"/>
      <c r="G54" s="36"/>
      <c r="H54" s="37"/>
      <c r="I54" s="37"/>
    </row>
    <row r="55" spans="1:9" ht="25.5">
      <c r="A55" s="20" t="s">
        <v>26</v>
      </c>
      <c r="B55" s="21" t="s">
        <v>77</v>
      </c>
      <c r="C55" s="22" t="s">
        <v>68</v>
      </c>
      <c r="D55" s="18">
        <v>0</v>
      </c>
      <c r="E55" s="32">
        <f>D55*0.032</f>
        <v>0</v>
      </c>
      <c r="F55" s="36"/>
      <c r="G55" s="36"/>
      <c r="H55" s="37"/>
      <c r="I55" s="36"/>
    </row>
    <row r="56" spans="1:9" ht="25.5">
      <c r="A56" s="20" t="s">
        <v>28</v>
      </c>
      <c r="B56" s="21" t="s">
        <v>79</v>
      </c>
      <c r="C56" s="22" t="s">
        <v>80</v>
      </c>
      <c r="D56" s="18"/>
      <c r="E56" s="32"/>
      <c r="F56" s="36"/>
      <c r="G56" s="36"/>
      <c r="H56" s="37"/>
      <c r="I56" s="37"/>
    </row>
    <row r="57" spans="1:9" ht="12.75">
      <c r="A57" s="20" t="s">
        <v>70</v>
      </c>
      <c r="B57" s="21" t="s">
        <v>82</v>
      </c>
      <c r="C57" s="22" t="s">
        <v>83</v>
      </c>
      <c r="D57" s="18">
        <v>0</v>
      </c>
      <c r="E57" s="32">
        <f>D57*0.02</f>
        <v>0</v>
      </c>
      <c r="F57" s="36"/>
      <c r="G57" s="36"/>
      <c r="H57" s="37"/>
      <c r="I57" s="37"/>
    </row>
    <row r="58" spans="1:9" ht="12.75">
      <c r="A58" s="20" t="s">
        <v>73</v>
      </c>
      <c r="B58" s="21" t="s">
        <v>154</v>
      </c>
      <c r="C58" s="22" t="s">
        <v>144</v>
      </c>
      <c r="D58" s="18">
        <v>0</v>
      </c>
      <c r="E58" s="32">
        <f>D58*0.128</f>
        <v>0</v>
      </c>
      <c r="F58" s="36"/>
      <c r="G58" s="36"/>
      <c r="H58" s="37"/>
      <c r="I58" s="37"/>
    </row>
    <row r="59" spans="1:9" ht="12.75">
      <c r="A59" s="20" t="s">
        <v>76</v>
      </c>
      <c r="B59" s="21" t="s">
        <v>155</v>
      </c>
      <c r="C59" s="22" t="s">
        <v>144</v>
      </c>
      <c r="D59" s="18">
        <v>0</v>
      </c>
      <c r="E59" s="32">
        <f>D59*0.152</f>
        <v>0</v>
      </c>
      <c r="F59" s="36"/>
      <c r="G59" s="36"/>
      <c r="H59" s="37"/>
      <c r="I59" s="37"/>
    </row>
    <row r="60" spans="1:9" ht="12.75">
      <c r="A60" s="46" t="s">
        <v>78</v>
      </c>
      <c r="B60" s="21" t="s">
        <v>84</v>
      </c>
      <c r="C60" s="22" t="s">
        <v>85</v>
      </c>
      <c r="D60" s="18">
        <v>0</v>
      </c>
      <c r="E60" s="32">
        <f>D60*0.1</f>
        <v>0</v>
      </c>
      <c r="F60" s="36"/>
      <c r="G60" s="36"/>
      <c r="H60" s="37"/>
      <c r="I60" s="36"/>
    </row>
    <row r="61" spans="1:9" ht="12.75">
      <c r="A61" s="46" t="s">
        <v>81</v>
      </c>
      <c r="B61" s="21" t="s">
        <v>86</v>
      </c>
      <c r="C61" s="22" t="s">
        <v>87</v>
      </c>
      <c r="D61" s="18">
        <v>0</v>
      </c>
      <c r="E61" s="32">
        <f>D61*0.03</f>
        <v>0</v>
      </c>
      <c r="F61" s="36"/>
      <c r="G61" s="36"/>
      <c r="H61" s="37"/>
      <c r="I61" s="37"/>
    </row>
    <row r="62" spans="1:9" ht="12.75">
      <c r="A62" s="46" t="s">
        <v>156</v>
      </c>
      <c r="B62" s="21" t="s">
        <v>88</v>
      </c>
      <c r="C62" s="22" t="s">
        <v>89</v>
      </c>
      <c r="D62" s="18">
        <v>0</v>
      </c>
      <c r="E62" s="32">
        <f>D62*0.02</f>
        <v>0</v>
      </c>
      <c r="F62" s="36"/>
      <c r="G62" s="36"/>
      <c r="H62" s="37"/>
      <c r="I62" s="37"/>
    </row>
    <row r="63" spans="1:9" ht="12.75">
      <c r="A63" s="46" t="s">
        <v>157</v>
      </c>
      <c r="B63" s="37" t="s">
        <v>143</v>
      </c>
      <c r="C63" s="37" t="s">
        <v>144</v>
      </c>
      <c r="D63" s="37">
        <v>0</v>
      </c>
      <c r="E63" s="37">
        <f>D63*0.15</f>
        <v>0</v>
      </c>
      <c r="F63" s="37"/>
      <c r="G63" s="37"/>
      <c r="H63" s="37"/>
      <c r="I63" s="37"/>
    </row>
    <row r="64" spans="1:9" ht="12.75">
      <c r="A64" s="20" t="s">
        <v>31</v>
      </c>
      <c r="B64" s="137" t="s">
        <v>32</v>
      </c>
      <c r="C64" s="138"/>
      <c r="D64" s="138"/>
      <c r="E64" s="26"/>
      <c r="F64" s="36"/>
      <c r="G64" s="36"/>
      <c r="H64" s="37"/>
      <c r="I64" s="37"/>
    </row>
    <row r="65" spans="1:9" ht="12.75">
      <c r="A65" s="20" t="s">
        <v>33</v>
      </c>
      <c r="B65" s="21" t="s">
        <v>90</v>
      </c>
      <c r="C65" s="22" t="s">
        <v>91</v>
      </c>
      <c r="D65" s="18">
        <v>0</v>
      </c>
      <c r="E65" s="32">
        <f>D65*0.2</f>
        <v>0</v>
      </c>
      <c r="F65" s="36"/>
      <c r="G65" s="36"/>
      <c r="H65" s="37"/>
      <c r="I65" s="37"/>
    </row>
    <row r="66" spans="1:9" ht="12.75">
      <c r="A66" s="20" t="s">
        <v>39</v>
      </c>
      <c r="B66" s="137" t="s">
        <v>32</v>
      </c>
      <c r="C66" s="138"/>
      <c r="D66" s="138"/>
      <c r="E66" s="26"/>
      <c r="F66" s="36"/>
      <c r="G66" s="36"/>
      <c r="H66" s="37"/>
      <c r="I66" s="37"/>
    </row>
    <row r="67" spans="1:9" ht="12.75">
      <c r="A67" s="20" t="s">
        <v>40</v>
      </c>
      <c r="B67" s="21" t="s">
        <v>92</v>
      </c>
      <c r="C67" s="22" t="s">
        <v>93</v>
      </c>
      <c r="D67" s="18">
        <v>0</v>
      </c>
      <c r="E67" s="32">
        <f>D67*0.3</f>
        <v>0</v>
      </c>
      <c r="F67" s="36"/>
      <c r="G67" s="36"/>
      <c r="H67" s="37"/>
      <c r="I67" s="37"/>
    </row>
    <row r="68" spans="1:9" ht="12.75">
      <c r="A68" s="20" t="s">
        <v>41</v>
      </c>
      <c r="B68" s="21" t="s">
        <v>94</v>
      </c>
      <c r="C68" s="22" t="s">
        <v>95</v>
      </c>
      <c r="D68" s="18"/>
      <c r="E68" s="32"/>
      <c r="F68" s="36"/>
      <c r="G68" s="36"/>
      <c r="H68" s="37"/>
      <c r="I68" s="37"/>
    </row>
    <row r="69" spans="1:9" ht="12.75">
      <c r="A69" s="20" t="s">
        <v>47</v>
      </c>
      <c r="B69" s="21" t="s">
        <v>96</v>
      </c>
      <c r="C69" s="22" t="s">
        <v>97</v>
      </c>
      <c r="D69" s="18">
        <v>0</v>
      </c>
      <c r="E69" s="32">
        <f>D69*0.0976</f>
        <v>0</v>
      </c>
      <c r="F69" s="36"/>
      <c r="G69" s="36"/>
      <c r="H69" s="37"/>
      <c r="I69" s="37"/>
    </row>
    <row r="70" spans="1:9" ht="12.75">
      <c r="A70" s="20" t="s">
        <v>52</v>
      </c>
      <c r="B70" s="21" t="s">
        <v>98</v>
      </c>
      <c r="C70" s="22" t="s">
        <v>91</v>
      </c>
      <c r="D70" s="18">
        <v>0</v>
      </c>
      <c r="E70" s="32">
        <f>D70*0.874</f>
        <v>0</v>
      </c>
      <c r="F70" s="36"/>
      <c r="G70" s="36"/>
      <c r="H70" s="37"/>
      <c r="I70" s="37"/>
    </row>
    <row r="71" spans="1:9" ht="12.75">
      <c r="A71" s="20" t="s">
        <v>99</v>
      </c>
      <c r="B71" s="21" t="s">
        <v>100</v>
      </c>
      <c r="C71" s="22" t="s">
        <v>101</v>
      </c>
      <c r="D71" s="18">
        <v>0</v>
      </c>
      <c r="E71" s="32">
        <f>D71*0.1</f>
        <v>0</v>
      </c>
      <c r="F71" s="36"/>
      <c r="G71" s="36"/>
      <c r="H71" s="37"/>
      <c r="I71" s="37"/>
    </row>
    <row r="72" spans="1:9" ht="12.75">
      <c r="A72" s="20" t="s">
        <v>102</v>
      </c>
      <c r="B72" s="21" t="s">
        <v>134</v>
      </c>
      <c r="C72" s="22" t="s">
        <v>130</v>
      </c>
      <c r="D72" s="18">
        <v>0</v>
      </c>
      <c r="E72" s="32">
        <f>D72*0.85</f>
        <v>0</v>
      </c>
      <c r="F72" s="36"/>
      <c r="G72" s="36"/>
      <c r="H72" s="37"/>
      <c r="I72" s="36"/>
    </row>
    <row r="73" spans="1:9" ht="12.75">
      <c r="A73" s="20" t="s">
        <v>103</v>
      </c>
      <c r="B73" s="57" t="s">
        <v>135</v>
      </c>
      <c r="C73" s="58" t="s">
        <v>130</v>
      </c>
      <c r="D73" s="18">
        <v>0</v>
      </c>
      <c r="E73" s="32">
        <v>0</v>
      </c>
      <c r="F73" s="36"/>
      <c r="G73" s="36"/>
      <c r="H73" s="37"/>
      <c r="I73" s="37"/>
    </row>
    <row r="74" spans="1:11" ht="12.75">
      <c r="A74" s="142" t="s">
        <v>146</v>
      </c>
      <c r="B74" s="140"/>
      <c r="C74" s="140"/>
      <c r="D74" s="141"/>
      <c r="E74" s="40">
        <f>SUM(E43:E73)</f>
        <v>0</v>
      </c>
      <c r="F74" s="41">
        <f>SUM(F42:F73)</f>
        <v>0</v>
      </c>
      <c r="G74" s="41">
        <f>SUM(G42:G73)</f>
        <v>0</v>
      </c>
      <c r="H74" s="42">
        <f>SUM(H42:H73)</f>
        <v>0</v>
      </c>
      <c r="I74" s="42">
        <f>SUM(I42:I73)</f>
        <v>0</v>
      </c>
      <c r="J74" s="68"/>
      <c r="K74" s="68"/>
    </row>
    <row r="75" spans="1:9" ht="12.75">
      <c r="A75" s="51" t="s">
        <v>104</v>
      </c>
      <c r="B75" s="39"/>
      <c r="C75" s="39"/>
      <c r="D75" s="39"/>
      <c r="E75" s="33"/>
      <c r="F75" s="36"/>
      <c r="G75" s="36"/>
      <c r="H75" s="37"/>
      <c r="I75" s="37"/>
    </row>
    <row r="76" spans="1:9" ht="12.75">
      <c r="A76" s="53" t="s">
        <v>7</v>
      </c>
      <c r="B76" s="56" t="s">
        <v>105</v>
      </c>
      <c r="C76" s="22"/>
      <c r="D76" s="18"/>
      <c r="E76" s="32"/>
      <c r="F76" s="36"/>
      <c r="G76" s="36"/>
      <c r="H76" s="37"/>
      <c r="I76" s="37"/>
    </row>
    <row r="77" spans="1:9" ht="12.75">
      <c r="A77" s="20" t="s">
        <v>9</v>
      </c>
      <c r="B77" s="20" t="s">
        <v>106</v>
      </c>
      <c r="C77" s="22" t="s">
        <v>107</v>
      </c>
      <c r="D77" s="18"/>
      <c r="E77" s="32"/>
      <c r="F77" s="36"/>
      <c r="G77" s="36"/>
      <c r="H77" s="37"/>
      <c r="I77" s="37"/>
    </row>
    <row r="78" spans="1:9" ht="12.75">
      <c r="A78" s="20" t="s">
        <v>12</v>
      </c>
      <c r="B78" s="21" t="s">
        <v>108</v>
      </c>
      <c r="C78" s="22" t="s">
        <v>109</v>
      </c>
      <c r="D78" s="18"/>
      <c r="E78" s="32"/>
      <c r="F78" s="36"/>
      <c r="G78" s="36"/>
      <c r="H78" s="37"/>
      <c r="I78" s="37"/>
    </row>
    <row r="79" spans="1:9" ht="12.75">
      <c r="A79" s="20" t="s">
        <v>15</v>
      </c>
      <c r="B79" s="21" t="s">
        <v>110</v>
      </c>
      <c r="C79" s="22" t="s">
        <v>107</v>
      </c>
      <c r="D79" s="18">
        <v>0</v>
      </c>
      <c r="E79" s="32">
        <v>0</v>
      </c>
      <c r="F79" s="36"/>
      <c r="G79" s="36"/>
      <c r="H79" s="37"/>
      <c r="I79" s="37"/>
    </row>
    <row r="80" spans="1:9" ht="12.75">
      <c r="A80" s="20" t="s">
        <v>31</v>
      </c>
      <c r="B80" s="56" t="s">
        <v>111</v>
      </c>
      <c r="C80" s="22"/>
      <c r="D80" s="18"/>
      <c r="E80" s="32"/>
      <c r="F80" s="36"/>
      <c r="G80" s="36"/>
      <c r="H80" s="37"/>
      <c r="I80" s="37"/>
    </row>
    <row r="81" spans="1:9" ht="25.5">
      <c r="A81" s="20"/>
      <c r="B81" s="21" t="s">
        <v>112</v>
      </c>
      <c r="C81" s="22" t="s">
        <v>113</v>
      </c>
      <c r="D81" s="18"/>
      <c r="E81" s="32"/>
      <c r="F81" s="36"/>
      <c r="G81" s="36"/>
      <c r="H81" s="37"/>
      <c r="I81" s="37"/>
    </row>
    <row r="82" spans="1:9" ht="25.5">
      <c r="A82" s="20"/>
      <c r="B82" s="21" t="s">
        <v>114</v>
      </c>
      <c r="C82" s="22" t="s">
        <v>113</v>
      </c>
      <c r="D82" s="18"/>
      <c r="E82" s="32">
        <v>0</v>
      </c>
      <c r="F82" s="36"/>
      <c r="G82" s="36"/>
      <c r="H82" s="37"/>
      <c r="I82" s="36"/>
    </row>
    <row r="83" spans="1:11" ht="12.75">
      <c r="A83" s="139" t="s">
        <v>147</v>
      </c>
      <c r="B83" s="140"/>
      <c r="C83" s="140"/>
      <c r="D83" s="141"/>
      <c r="E83" s="40">
        <f>SUM(E77:E82)</f>
        <v>0</v>
      </c>
      <c r="F83" s="41">
        <f>SUM(F77:F82)</f>
        <v>0</v>
      </c>
      <c r="G83" s="41">
        <f>SUM(G77:G82)</f>
        <v>0</v>
      </c>
      <c r="H83" s="42">
        <f>SUM(H77:H82)</f>
        <v>0</v>
      </c>
      <c r="I83" s="41">
        <f>SUM(I77:I82)</f>
        <v>0</v>
      </c>
      <c r="J83" s="68"/>
      <c r="K83" s="68"/>
    </row>
    <row r="84" spans="1:9" ht="12.75">
      <c r="A84" s="136" t="s">
        <v>115</v>
      </c>
      <c r="B84" s="136"/>
      <c r="C84" s="136"/>
      <c r="D84" s="136"/>
      <c r="E84" s="34"/>
      <c r="F84" s="36"/>
      <c r="G84" s="36"/>
      <c r="H84" s="37"/>
      <c r="I84" s="37"/>
    </row>
    <row r="85" spans="1:9" ht="12.75">
      <c r="A85" s="59">
        <v>1</v>
      </c>
      <c r="B85" s="53" t="s">
        <v>126</v>
      </c>
      <c r="C85" s="60" t="s">
        <v>127</v>
      </c>
      <c r="D85" s="52">
        <v>476.8</v>
      </c>
      <c r="E85" s="35">
        <f>D85*0.59*12/1000</f>
        <v>3.375744</v>
      </c>
      <c r="F85" s="36">
        <f>E85/4</f>
        <v>0.843936</v>
      </c>
      <c r="G85" s="36">
        <v>0.84</v>
      </c>
      <c r="H85" s="37">
        <v>0.84</v>
      </c>
      <c r="I85" s="36">
        <f>E85-F85-G85-H85</f>
        <v>0.851808</v>
      </c>
    </row>
    <row r="86" spans="1:9" ht="12.75">
      <c r="A86" s="59">
        <v>2</v>
      </c>
      <c r="B86" s="53" t="s">
        <v>116</v>
      </c>
      <c r="C86" s="60" t="s">
        <v>117</v>
      </c>
      <c r="D86" s="52">
        <v>0</v>
      </c>
      <c r="E86" s="31">
        <f>D86*1.06*2/1000</f>
        <v>0</v>
      </c>
      <c r="F86" s="36"/>
      <c r="G86" s="36"/>
      <c r="H86" s="37"/>
      <c r="I86" s="37"/>
    </row>
    <row r="87" spans="1:9" ht="25.5">
      <c r="A87" s="59">
        <v>3</v>
      </c>
      <c r="B87" s="61" t="s">
        <v>128</v>
      </c>
      <c r="C87" s="60"/>
      <c r="D87" s="52"/>
      <c r="E87" s="35">
        <v>10</v>
      </c>
      <c r="F87" s="36">
        <v>2.5</v>
      </c>
      <c r="G87" s="36">
        <v>2.5</v>
      </c>
      <c r="H87" s="37">
        <v>2.5</v>
      </c>
      <c r="I87" s="36">
        <v>2.5</v>
      </c>
    </row>
    <row r="88" spans="1:10" ht="12.75">
      <c r="A88" s="59">
        <v>4</v>
      </c>
      <c r="B88" s="63" t="s">
        <v>191</v>
      </c>
      <c r="C88" s="80">
        <v>0.149</v>
      </c>
      <c r="D88" s="52">
        <v>476.8</v>
      </c>
      <c r="E88" s="31">
        <v>4.433</v>
      </c>
      <c r="F88" s="36">
        <f>E88/4</f>
        <v>1.10825</v>
      </c>
      <c r="G88" s="36">
        <v>1.11</v>
      </c>
      <c r="H88" s="37">
        <v>1.11</v>
      </c>
      <c r="I88" s="36">
        <v>1.11</v>
      </c>
      <c r="J88" s="23">
        <f>F90+G90+H90+I90</f>
        <v>27.541994</v>
      </c>
    </row>
    <row r="89" spans="1:11" ht="12.75">
      <c r="A89" s="142" t="s">
        <v>149</v>
      </c>
      <c r="B89" s="140"/>
      <c r="C89" s="140"/>
      <c r="D89" s="141"/>
      <c r="E89" s="40">
        <f>SUM(E85:E88)</f>
        <v>17.808744</v>
      </c>
      <c r="F89" s="41">
        <f>SUM(F85:F88)</f>
        <v>4.452186</v>
      </c>
      <c r="G89" s="41">
        <f>SUM(G85:G88)</f>
        <v>4.45</v>
      </c>
      <c r="H89" s="42">
        <f>SUM(H85:H88)</f>
        <v>4.45</v>
      </c>
      <c r="I89" s="41">
        <f>SUM(I85:I88)</f>
        <v>4.461808</v>
      </c>
      <c r="J89" s="72">
        <f>F89+G89+H89+I89</f>
        <v>17.813994</v>
      </c>
      <c r="K89" s="68"/>
    </row>
    <row r="90" spans="1:11" ht="12.75">
      <c r="A90" s="139" t="s">
        <v>150</v>
      </c>
      <c r="B90" s="140"/>
      <c r="C90" s="140"/>
      <c r="D90" s="141"/>
      <c r="E90" s="40">
        <f>E39+E74+E83+E89</f>
        <v>27.536744000000002</v>
      </c>
      <c r="F90" s="41">
        <f>F39+F74+F83+F89</f>
        <v>10.182186000000002</v>
      </c>
      <c r="G90" s="41">
        <f>G39+G74+G83+G89</f>
        <v>6.449</v>
      </c>
      <c r="H90" s="41">
        <f>H39+H74+H83+H89</f>
        <v>6.449</v>
      </c>
      <c r="I90" s="41">
        <f>I39+I74+I83+I89</f>
        <v>4.461808</v>
      </c>
      <c r="J90" s="24">
        <v>27.54</v>
      </c>
      <c r="K90" s="23">
        <f>J90-E90</f>
        <v>0.003255999999996817</v>
      </c>
    </row>
    <row r="91" spans="1:9" ht="12.75">
      <c r="A91" s="121" t="s">
        <v>151</v>
      </c>
      <c r="B91" s="122"/>
      <c r="C91" s="122"/>
      <c r="D91" s="122"/>
      <c r="E91" s="123"/>
      <c r="F91" s="36"/>
      <c r="G91" s="36"/>
      <c r="H91" s="37"/>
      <c r="I91" s="37"/>
    </row>
    <row r="92" spans="1:9" ht="25.5">
      <c r="A92" s="150">
        <v>1</v>
      </c>
      <c r="B92" s="62" t="s">
        <v>188</v>
      </c>
      <c r="C92" s="66" t="s">
        <v>107</v>
      </c>
      <c r="D92" s="52">
        <v>476.8</v>
      </c>
      <c r="E92" s="104">
        <f>D92*1.62*12/1000</f>
        <v>9.268992</v>
      </c>
      <c r="F92" s="97">
        <f>E92/4</f>
        <v>2.317248</v>
      </c>
      <c r="G92" s="97">
        <v>2.3</v>
      </c>
      <c r="H92" s="97">
        <v>2.3</v>
      </c>
      <c r="I92" s="97">
        <v>2.3</v>
      </c>
    </row>
    <row r="93" spans="1:9" ht="12.75">
      <c r="A93" s="151"/>
      <c r="B93" s="62" t="s">
        <v>183</v>
      </c>
      <c r="C93" s="66"/>
      <c r="D93" s="52"/>
      <c r="E93" s="104">
        <f>9.555-E92</f>
        <v>0.28600799999999893</v>
      </c>
      <c r="F93" s="97">
        <f>E93/4</f>
        <v>0.07150199999999973</v>
      </c>
      <c r="G93" s="97">
        <v>0.1</v>
      </c>
      <c r="H93" s="97">
        <v>0.1</v>
      </c>
      <c r="I93" s="97">
        <v>0.1</v>
      </c>
    </row>
    <row r="94" spans="1:9" ht="12.75">
      <c r="A94" s="152"/>
      <c r="B94" s="82" t="s">
        <v>189</v>
      </c>
      <c r="C94" s="81"/>
      <c r="D94" s="41"/>
      <c r="E94" s="99">
        <f>SUM(E92:E93)</f>
        <v>9.555</v>
      </c>
      <c r="F94" s="100">
        <v>2.4</v>
      </c>
      <c r="G94" s="100">
        <f>SUM(G92:G93)</f>
        <v>2.4</v>
      </c>
      <c r="H94" s="100">
        <f>SUM(H92:H93)</f>
        <v>2.4</v>
      </c>
      <c r="I94" s="100">
        <f>SUM(I92:I93)</f>
        <v>2.4</v>
      </c>
    </row>
    <row r="95" spans="1:9" ht="12.75">
      <c r="A95" s="126" t="s">
        <v>152</v>
      </c>
      <c r="B95" s="119"/>
      <c r="C95" s="119"/>
      <c r="D95" s="119"/>
      <c r="E95" s="65">
        <f>SUM(E94)</f>
        <v>9.555</v>
      </c>
      <c r="F95" s="41">
        <f>SUM(F94)</f>
        <v>2.4</v>
      </c>
      <c r="G95" s="41">
        <f>SUM(G94)</f>
        <v>2.4</v>
      </c>
      <c r="H95" s="100">
        <f>SUM(H94)</f>
        <v>2.4</v>
      </c>
      <c r="I95" s="41">
        <f>SUM(I94)</f>
        <v>2.4</v>
      </c>
    </row>
    <row r="96" spans="1:10" ht="15.75">
      <c r="A96" s="145" t="s">
        <v>153</v>
      </c>
      <c r="B96" s="146"/>
      <c r="C96" s="146"/>
      <c r="D96" s="146"/>
      <c r="E96" s="65">
        <f>E90+E95</f>
        <v>37.091744000000006</v>
      </c>
      <c r="F96" s="65">
        <f>F90+F95</f>
        <v>12.582186000000002</v>
      </c>
      <c r="G96" s="65">
        <f>G90+G95</f>
        <v>8.849</v>
      </c>
      <c r="H96" s="65">
        <f>H90+H95</f>
        <v>8.849</v>
      </c>
      <c r="I96" s="65">
        <f>I90+I95</f>
        <v>6.861808</v>
      </c>
      <c r="J96" s="23"/>
    </row>
    <row r="97" spans="1:9" ht="12.75">
      <c r="A97" s="124" t="s">
        <v>118</v>
      </c>
      <c r="B97" s="124"/>
      <c r="C97" s="124"/>
      <c r="D97" s="124"/>
      <c r="E97" s="125"/>
      <c r="F97" s="36"/>
      <c r="G97" s="36"/>
      <c r="H97" s="37"/>
      <c r="I97" s="37"/>
    </row>
    <row r="98" spans="1:9" ht="12.75">
      <c r="A98" s="53" t="s">
        <v>7</v>
      </c>
      <c r="B98" s="53" t="s">
        <v>119</v>
      </c>
      <c r="C98" s="66" t="s">
        <v>120</v>
      </c>
      <c r="D98" s="52">
        <v>110.691</v>
      </c>
      <c r="E98" s="31"/>
      <c r="F98" s="36"/>
      <c r="G98" s="36"/>
      <c r="H98" s="37"/>
      <c r="I98" s="37"/>
    </row>
    <row r="99" spans="1:9" ht="12.75">
      <c r="A99" s="53" t="s">
        <v>31</v>
      </c>
      <c r="B99" s="53" t="s">
        <v>121</v>
      </c>
      <c r="C99" s="66" t="s">
        <v>122</v>
      </c>
      <c r="D99" s="52">
        <f>12+4</f>
        <v>16</v>
      </c>
      <c r="E99" s="31"/>
      <c r="F99" s="36"/>
      <c r="G99" s="36"/>
      <c r="H99" s="37"/>
      <c r="I99" s="37"/>
    </row>
    <row r="100" spans="1:11" ht="12.75">
      <c r="A100" s="53" t="s">
        <v>39</v>
      </c>
      <c r="B100" s="53" t="s">
        <v>123</v>
      </c>
      <c r="C100" s="66" t="s">
        <v>122</v>
      </c>
      <c r="D100" s="52">
        <f>396+160+120+144+153+153+63+40+196+220+60+60+60+80</f>
        <v>1905</v>
      </c>
      <c r="E100" s="31"/>
      <c r="F100" s="36"/>
      <c r="G100" s="36"/>
      <c r="H100" s="37"/>
      <c r="I100" s="37"/>
      <c r="J100"/>
      <c r="K100"/>
    </row>
    <row r="101" spans="1:7" ht="12.75">
      <c r="A101" s="67"/>
      <c r="B101" s="67"/>
      <c r="C101" s="67"/>
      <c r="D101" s="25"/>
      <c r="E101" s="25"/>
      <c r="F101" s="23"/>
      <c r="G101" s="23"/>
    </row>
    <row r="102" spans="1:7" ht="12.75">
      <c r="A102" s="67"/>
      <c r="B102" s="67" t="s">
        <v>124</v>
      </c>
      <c r="C102" s="162" t="s">
        <v>176</v>
      </c>
      <c r="D102" s="163"/>
      <c r="E102" s="163"/>
      <c r="F102" s="23"/>
      <c r="G102" s="23"/>
    </row>
    <row r="103" spans="1:7" ht="12.75">
      <c r="A103" s="67"/>
      <c r="B103" s="67"/>
      <c r="C103" s="67"/>
      <c r="D103" s="25"/>
      <c r="E103" s="25"/>
      <c r="F103" s="23"/>
      <c r="G103" s="23"/>
    </row>
    <row r="104" spans="2:7" ht="12.75">
      <c r="B104" s="95" t="s">
        <v>215</v>
      </c>
      <c r="C104" s="24" t="s">
        <v>200</v>
      </c>
      <c r="D104" s="23"/>
      <c r="E104" s="23"/>
      <c r="F104" s="23"/>
      <c r="G104" s="23"/>
    </row>
  </sheetData>
  <mergeCells count="33">
    <mergeCell ref="A7:I7"/>
    <mergeCell ref="A8:I8"/>
    <mergeCell ref="A9:I9"/>
    <mergeCell ref="E2:I2"/>
    <mergeCell ref="E3:I3"/>
    <mergeCell ref="E4:I4"/>
    <mergeCell ref="E5:I5"/>
    <mergeCell ref="A11:A12"/>
    <mergeCell ref="B11:B12"/>
    <mergeCell ref="C11:C12"/>
    <mergeCell ref="D11:E11"/>
    <mergeCell ref="F11:F12"/>
    <mergeCell ref="G11:G12"/>
    <mergeCell ref="H11:H12"/>
    <mergeCell ref="I11:I12"/>
    <mergeCell ref="B14:E14"/>
    <mergeCell ref="B24:D24"/>
    <mergeCell ref="B27:D27"/>
    <mergeCell ref="A39:D39"/>
    <mergeCell ref="A40:D40"/>
    <mergeCell ref="B64:D64"/>
    <mergeCell ref="B66:D66"/>
    <mergeCell ref="A74:D74"/>
    <mergeCell ref="A83:D83"/>
    <mergeCell ref="A84:D84"/>
    <mergeCell ref="A89:D89"/>
    <mergeCell ref="A90:D90"/>
    <mergeCell ref="A97:E97"/>
    <mergeCell ref="C102:E102"/>
    <mergeCell ref="A91:E91"/>
    <mergeCell ref="A96:D96"/>
    <mergeCell ref="A92:A94"/>
    <mergeCell ref="A95:D9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7"/>
  </sheetPr>
  <dimension ref="A1:K104"/>
  <sheetViews>
    <sheetView workbookViewId="0" topLeftCell="A61">
      <selection activeCell="M23" sqref="M23"/>
    </sheetView>
  </sheetViews>
  <sheetFormatPr defaultColWidth="9.00390625" defaultRowHeight="12.75"/>
  <cols>
    <col min="1" max="1" width="4.75390625" style="24" customWidth="1"/>
    <col min="2" max="2" width="59.75390625" style="24" customWidth="1"/>
    <col min="3" max="3" width="22.75390625" style="24" customWidth="1"/>
    <col min="4" max="16384" width="9.125" style="24" customWidth="1"/>
  </cols>
  <sheetData>
    <row r="1" spans="1:5" ht="12.75">
      <c r="A1"/>
      <c r="B1"/>
      <c r="C1"/>
      <c r="D1"/>
      <c r="E1"/>
    </row>
    <row r="2" spans="2:9" ht="12.75">
      <c r="B2" s="107" t="s">
        <v>207</v>
      </c>
      <c r="E2" s="173" t="s">
        <v>159</v>
      </c>
      <c r="F2" s="173"/>
      <c r="G2" s="173"/>
      <c r="H2" s="173"/>
      <c r="I2" s="173"/>
    </row>
    <row r="3" spans="2:9" ht="12.75">
      <c r="B3" s="24" t="s">
        <v>204</v>
      </c>
      <c r="E3" s="173" t="s">
        <v>192</v>
      </c>
      <c r="F3" s="173"/>
      <c r="G3" s="173"/>
      <c r="H3" s="173"/>
      <c r="I3" s="173"/>
    </row>
    <row r="4" spans="2:9" ht="12.75">
      <c r="B4" s="24" t="s">
        <v>217</v>
      </c>
      <c r="E4" s="173" t="s">
        <v>160</v>
      </c>
      <c r="F4" s="173"/>
      <c r="G4" s="173"/>
      <c r="H4" s="173"/>
      <c r="I4" s="173"/>
    </row>
    <row r="5" spans="5:9" ht="12.75">
      <c r="E5" s="174" t="s">
        <v>193</v>
      </c>
      <c r="F5" s="173"/>
      <c r="G5" s="173"/>
      <c r="H5" s="173"/>
      <c r="I5" s="173"/>
    </row>
    <row r="7" spans="1:9" ht="12.75">
      <c r="A7" s="158" t="s">
        <v>125</v>
      </c>
      <c r="B7" s="158"/>
      <c r="C7" s="158"/>
      <c r="D7" s="158"/>
      <c r="E7" s="158"/>
      <c r="F7" s="158"/>
      <c r="G7" s="158"/>
      <c r="H7" s="158"/>
      <c r="I7" s="158"/>
    </row>
    <row r="8" spans="1:9" ht="12.75">
      <c r="A8" s="159" t="s">
        <v>174</v>
      </c>
      <c r="B8" s="158"/>
      <c r="C8" s="158"/>
      <c r="D8" s="158"/>
      <c r="E8" s="158"/>
      <c r="F8" s="158"/>
      <c r="G8" s="158"/>
      <c r="H8" s="158"/>
      <c r="I8" s="158"/>
    </row>
    <row r="9" spans="1:9" ht="12.75">
      <c r="A9" s="160" t="s">
        <v>178</v>
      </c>
      <c r="B9" s="160"/>
      <c r="C9" s="160"/>
      <c r="D9" s="160"/>
      <c r="E9" s="160"/>
      <c r="F9" s="160"/>
      <c r="G9" s="160"/>
      <c r="H9" s="160"/>
      <c r="I9" s="160"/>
    </row>
    <row r="11" spans="1:9" ht="12.75">
      <c r="A11" s="170" t="s">
        <v>0</v>
      </c>
      <c r="B11" s="170" t="s">
        <v>1</v>
      </c>
      <c r="C11" s="170" t="s">
        <v>2</v>
      </c>
      <c r="D11" s="171" t="s">
        <v>3</v>
      </c>
      <c r="E11" s="172"/>
      <c r="F11" s="153" t="s">
        <v>139</v>
      </c>
      <c r="G11" s="153" t="s">
        <v>140</v>
      </c>
      <c r="H11" s="155" t="s">
        <v>141</v>
      </c>
      <c r="I11" s="155" t="s">
        <v>142</v>
      </c>
    </row>
    <row r="12" spans="1:9" ht="38.25">
      <c r="A12" s="170"/>
      <c r="B12" s="170"/>
      <c r="C12" s="170"/>
      <c r="D12" s="50" t="s">
        <v>4</v>
      </c>
      <c r="E12" s="30" t="s">
        <v>5</v>
      </c>
      <c r="F12" s="154"/>
      <c r="G12" s="154"/>
      <c r="H12" s="156"/>
      <c r="I12" s="156"/>
    </row>
    <row r="13" spans="1:9" ht="12.75">
      <c r="A13" s="51" t="s">
        <v>6</v>
      </c>
      <c r="B13" s="51"/>
      <c r="C13" s="39"/>
      <c r="D13" s="52"/>
      <c r="E13" s="31"/>
      <c r="F13" s="36"/>
      <c r="G13" s="36"/>
      <c r="H13" s="37"/>
      <c r="I13" s="37"/>
    </row>
    <row r="14" spans="1:9" ht="12.75">
      <c r="A14" s="53" t="s">
        <v>7</v>
      </c>
      <c r="B14" s="164" t="s">
        <v>8</v>
      </c>
      <c r="C14" s="164"/>
      <c r="D14" s="164"/>
      <c r="E14" s="165"/>
      <c r="F14" s="36"/>
      <c r="G14" s="36"/>
      <c r="H14" s="37"/>
      <c r="I14" s="37"/>
    </row>
    <row r="15" spans="1:11" ht="12.75">
      <c r="A15" s="20" t="s">
        <v>9</v>
      </c>
      <c r="B15" s="20" t="s">
        <v>10</v>
      </c>
      <c r="C15" s="22" t="s">
        <v>11</v>
      </c>
      <c r="D15" s="18">
        <v>0.8</v>
      </c>
      <c r="E15" s="32">
        <f>D15*0.7</f>
        <v>0.5599999999999999</v>
      </c>
      <c r="F15" s="36"/>
      <c r="G15" s="36">
        <f>E15/2</f>
        <v>0.27999999999999997</v>
      </c>
      <c r="H15" s="36">
        <f>E15-G15</f>
        <v>0.27999999999999997</v>
      </c>
      <c r="I15" s="37"/>
      <c r="J15"/>
      <c r="K15"/>
    </row>
    <row r="16" spans="1:11" ht="12.75">
      <c r="A16" s="20" t="s">
        <v>12</v>
      </c>
      <c r="B16" s="21" t="s">
        <v>13</v>
      </c>
      <c r="C16" s="22" t="s">
        <v>14</v>
      </c>
      <c r="D16" s="18">
        <f>0.333*2</f>
        <v>0.666</v>
      </c>
      <c r="E16" s="32">
        <f>D16*0.23</f>
        <v>0.15318</v>
      </c>
      <c r="F16" s="36"/>
      <c r="G16" s="36">
        <f aca="true" t="shared" si="0" ref="G16:G21">E16/2</f>
        <v>0.07659</v>
      </c>
      <c r="H16" s="36">
        <f aca="true" t="shared" si="1" ref="H16:H21">E16-G16</f>
        <v>0.07659</v>
      </c>
      <c r="I16" s="37"/>
      <c r="J16"/>
      <c r="K16"/>
    </row>
    <row r="17" spans="1:9" ht="12.75">
      <c r="A17" s="20" t="s">
        <v>15</v>
      </c>
      <c r="B17" s="21" t="s">
        <v>16</v>
      </c>
      <c r="C17" s="22" t="s">
        <v>14</v>
      </c>
      <c r="D17" s="18">
        <f>0.333*2</f>
        <v>0.666</v>
      </c>
      <c r="E17" s="32">
        <f>D17*0.4</f>
        <v>0.2664</v>
      </c>
      <c r="F17" s="36"/>
      <c r="G17" s="36">
        <f t="shared" si="0"/>
        <v>0.1332</v>
      </c>
      <c r="H17" s="36">
        <f t="shared" si="1"/>
        <v>0.1332</v>
      </c>
      <c r="I17" s="37"/>
    </row>
    <row r="18" spans="1:11" ht="24.75" customHeight="1">
      <c r="A18" s="20" t="s">
        <v>17</v>
      </c>
      <c r="B18" s="21" t="s">
        <v>18</v>
      </c>
      <c r="C18" s="22" t="s">
        <v>14</v>
      </c>
      <c r="D18" s="18">
        <f>0.333*2</f>
        <v>0.666</v>
      </c>
      <c r="E18" s="32">
        <f>D18*0.4</f>
        <v>0.2664</v>
      </c>
      <c r="F18" s="36"/>
      <c r="G18" s="36">
        <f t="shared" si="0"/>
        <v>0.1332</v>
      </c>
      <c r="H18" s="36">
        <f t="shared" si="1"/>
        <v>0.1332</v>
      </c>
      <c r="I18" s="37"/>
      <c r="J18"/>
      <c r="K18"/>
    </row>
    <row r="19" spans="1:11" ht="25.5" customHeight="1">
      <c r="A19" s="20" t="s">
        <v>19</v>
      </c>
      <c r="B19" s="21" t="s">
        <v>20</v>
      </c>
      <c r="C19" s="22" t="s">
        <v>14</v>
      </c>
      <c r="D19" s="18">
        <f>0.333*2</f>
        <v>0.666</v>
      </c>
      <c r="E19" s="32">
        <f>D19*0.3</f>
        <v>0.1998</v>
      </c>
      <c r="F19" s="36"/>
      <c r="G19" s="36">
        <f t="shared" si="0"/>
        <v>0.0999</v>
      </c>
      <c r="H19" s="36">
        <f t="shared" si="1"/>
        <v>0.0999</v>
      </c>
      <c r="I19" s="37"/>
      <c r="J19"/>
      <c r="K19"/>
    </row>
    <row r="20" spans="1:11" ht="12.75">
      <c r="A20" s="20" t="s">
        <v>21</v>
      </c>
      <c r="B20" s="21" t="s">
        <v>22</v>
      </c>
      <c r="C20" s="22" t="s">
        <v>14</v>
      </c>
      <c r="D20" s="18">
        <f>0.333*2</f>
        <v>0.666</v>
      </c>
      <c r="E20" s="32">
        <f>D20*0.4</f>
        <v>0.2664</v>
      </c>
      <c r="F20" s="36"/>
      <c r="G20" s="36">
        <f t="shared" si="0"/>
        <v>0.1332</v>
      </c>
      <c r="H20" s="36">
        <f t="shared" si="1"/>
        <v>0.1332</v>
      </c>
      <c r="I20" s="37"/>
      <c r="J20"/>
      <c r="K20"/>
    </row>
    <row r="21" spans="1:11" ht="12.75">
      <c r="A21" s="20" t="s">
        <v>23</v>
      </c>
      <c r="B21" s="20" t="s">
        <v>24</v>
      </c>
      <c r="C21" s="22" t="s">
        <v>25</v>
      </c>
      <c r="D21" s="18">
        <v>16</v>
      </c>
      <c r="E21" s="32">
        <f>D21*0.2</f>
        <v>3.2</v>
      </c>
      <c r="F21" s="36"/>
      <c r="G21" s="36">
        <f t="shared" si="0"/>
        <v>1.6</v>
      </c>
      <c r="H21" s="36">
        <f t="shared" si="1"/>
        <v>1.6</v>
      </c>
      <c r="I21" s="37"/>
      <c r="J21"/>
      <c r="K21"/>
    </row>
    <row r="22" spans="1:11" ht="25.5">
      <c r="A22" s="20" t="s">
        <v>26</v>
      </c>
      <c r="B22" s="21" t="s">
        <v>27</v>
      </c>
      <c r="C22" s="22" t="s">
        <v>25</v>
      </c>
      <c r="D22" s="18"/>
      <c r="E22" s="32"/>
      <c r="F22" s="36"/>
      <c r="G22" s="36"/>
      <c r="H22" s="37"/>
      <c r="I22" s="37"/>
      <c r="J22"/>
      <c r="K22"/>
    </row>
    <row r="23" spans="1:11" ht="25.5">
      <c r="A23" s="20" t="s">
        <v>28</v>
      </c>
      <c r="B23" s="21" t="s">
        <v>29</v>
      </c>
      <c r="C23" s="22" t="s">
        <v>30</v>
      </c>
      <c r="D23" s="18"/>
      <c r="E23" s="32"/>
      <c r="F23" s="36"/>
      <c r="G23" s="36"/>
      <c r="H23" s="37"/>
      <c r="I23" s="37"/>
      <c r="J23"/>
      <c r="K23"/>
    </row>
    <row r="24" spans="1:11" ht="12.75">
      <c r="A24" s="20" t="s">
        <v>31</v>
      </c>
      <c r="B24" s="137" t="s">
        <v>32</v>
      </c>
      <c r="C24" s="138"/>
      <c r="D24" s="138"/>
      <c r="E24" s="26"/>
      <c r="F24" s="36"/>
      <c r="G24" s="36"/>
      <c r="H24" s="37"/>
      <c r="I24" s="37"/>
      <c r="J24"/>
      <c r="K24"/>
    </row>
    <row r="25" spans="1:11" ht="12.75">
      <c r="A25" s="20" t="s">
        <v>33</v>
      </c>
      <c r="B25" s="21" t="s">
        <v>34</v>
      </c>
      <c r="C25" s="54" t="s">
        <v>35</v>
      </c>
      <c r="D25" s="18"/>
      <c r="E25" s="32"/>
      <c r="F25" s="36"/>
      <c r="G25" s="36"/>
      <c r="H25" s="37"/>
      <c r="I25" s="37"/>
      <c r="J25"/>
      <c r="K25"/>
    </row>
    <row r="26" spans="1:11" ht="12.75">
      <c r="A26" s="20" t="s">
        <v>36</v>
      </c>
      <c r="B26" s="20" t="s">
        <v>37</v>
      </c>
      <c r="C26" s="54" t="s">
        <v>38</v>
      </c>
      <c r="D26" s="18"/>
      <c r="E26" s="32"/>
      <c r="F26" s="36"/>
      <c r="G26" s="36"/>
      <c r="H26" s="37"/>
      <c r="I26" s="37"/>
      <c r="J26"/>
      <c r="K26"/>
    </row>
    <row r="27" spans="1:11" ht="12.75">
      <c r="A27" s="20" t="s">
        <v>39</v>
      </c>
      <c r="B27" s="137" t="s">
        <v>32</v>
      </c>
      <c r="C27" s="138"/>
      <c r="D27" s="138"/>
      <c r="E27" s="26"/>
      <c r="F27" s="36"/>
      <c r="G27" s="36"/>
      <c r="H27" s="37"/>
      <c r="I27" s="37"/>
      <c r="J27"/>
      <c r="K27"/>
    </row>
    <row r="28" spans="1:11" ht="12.75">
      <c r="A28" s="20" t="s">
        <v>40</v>
      </c>
      <c r="B28" s="46" t="s">
        <v>138</v>
      </c>
      <c r="C28" s="54" t="s">
        <v>38</v>
      </c>
      <c r="D28" s="18">
        <v>0</v>
      </c>
      <c r="E28" s="32">
        <f>D28*0.1</f>
        <v>0</v>
      </c>
      <c r="F28" s="36"/>
      <c r="G28" s="36"/>
      <c r="H28" s="37"/>
      <c r="I28" s="37"/>
      <c r="J28"/>
      <c r="K28"/>
    </row>
    <row r="29" spans="1:11" ht="12.75">
      <c r="A29" s="20" t="s">
        <v>41</v>
      </c>
      <c r="B29" s="20" t="s">
        <v>42</v>
      </c>
      <c r="C29" s="54"/>
      <c r="D29" s="18"/>
      <c r="E29" s="32"/>
      <c r="F29" s="36"/>
      <c r="G29" s="36"/>
      <c r="H29" s="37"/>
      <c r="I29" s="37"/>
      <c r="J29"/>
      <c r="K29"/>
    </row>
    <row r="30" spans="1:11" ht="12.75">
      <c r="A30" s="20"/>
      <c r="B30" s="20" t="s">
        <v>43</v>
      </c>
      <c r="C30" s="54" t="s">
        <v>44</v>
      </c>
      <c r="D30" s="18">
        <v>0</v>
      </c>
      <c r="E30" s="32">
        <f>D30*0.05</f>
        <v>0</v>
      </c>
      <c r="F30" s="36"/>
      <c r="G30" s="36"/>
      <c r="H30" s="37"/>
      <c r="I30" s="37"/>
      <c r="J30"/>
      <c r="K30"/>
    </row>
    <row r="31" spans="1:11" ht="12.75">
      <c r="A31" s="20"/>
      <c r="B31" s="20" t="s">
        <v>45</v>
      </c>
      <c r="C31" s="54" t="s">
        <v>46</v>
      </c>
      <c r="D31" s="18"/>
      <c r="E31" s="32"/>
      <c r="F31" s="36"/>
      <c r="G31" s="36"/>
      <c r="H31" s="37"/>
      <c r="I31" s="37"/>
      <c r="J31"/>
      <c r="K31"/>
    </row>
    <row r="32" spans="1:11" ht="12.75">
      <c r="A32" s="20" t="s">
        <v>47</v>
      </c>
      <c r="B32" s="20" t="s">
        <v>48</v>
      </c>
      <c r="C32" s="54"/>
      <c r="D32" s="18"/>
      <c r="E32" s="32"/>
      <c r="F32" s="36"/>
      <c r="G32" s="36"/>
      <c r="H32" s="37"/>
      <c r="I32" s="37"/>
      <c r="J32"/>
      <c r="K32"/>
    </row>
    <row r="33" spans="1:11" ht="12.75">
      <c r="A33" s="20"/>
      <c r="B33" s="20" t="s">
        <v>49</v>
      </c>
      <c r="C33" s="54" t="s">
        <v>50</v>
      </c>
      <c r="D33" s="18"/>
      <c r="E33" s="32"/>
      <c r="F33" s="36"/>
      <c r="G33" s="36"/>
      <c r="H33" s="37"/>
      <c r="I33" s="37"/>
      <c r="J33"/>
      <c r="K33"/>
    </row>
    <row r="34" spans="1:11" ht="12.75">
      <c r="A34" s="20"/>
      <c r="B34" s="20" t="s">
        <v>51</v>
      </c>
      <c r="C34" s="54" t="s">
        <v>50</v>
      </c>
      <c r="D34" s="18"/>
      <c r="E34" s="32"/>
      <c r="F34" s="36"/>
      <c r="G34" s="36"/>
      <c r="H34" s="37"/>
      <c r="I34" s="37"/>
      <c r="J34"/>
      <c r="K34"/>
    </row>
    <row r="35" spans="1:11" ht="12.75">
      <c r="A35" s="20" t="s">
        <v>52</v>
      </c>
      <c r="B35" s="20" t="s">
        <v>53</v>
      </c>
      <c r="C35" s="54" t="s">
        <v>54</v>
      </c>
      <c r="D35" s="18">
        <v>400</v>
      </c>
      <c r="E35" s="32">
        <f>D35*0.0134</f>
        <v>5.36</v>
      </c>
      <c r="F35" s="36">
        <v>5.36</v>
      </c>
      <c r="G35" s="36"/>
      <c r="H35" s="37"/>
      <c r="I35" s="37"/>
      <c r="J35"/>
      <c r="K35"/>
    </row>
    <row r="36" spans="1:11" ht="12.75">
      <c r="A36" s="20" t="s">
        <v>99</v>
      </c>
      <c r="B36" s="20" t="s">
        <v>129</v>
      </c>
      <c r="C36" s="54" t="s">
        <v>130</v>
      </c>
      <c r="D36" s="18">
        <v>0</v>
      </c>
      <c r="E36" s="32">
        <f>D36*0.7</f>
        <v>0</v>
      </c>
      <c r="F36" s="36"/>
      <c r="G36" s="36"/>
      <c r="H36" s="37"/>
      <c r="I36" s="37"/>
      <c r="J36"/>
      <c r="K36"/>
    </row>
    <row r="37" spans="1:11" ht="12.75">
      <c r="A37" s="20" t="s">
        <v>102</v>
      </c>
      <c r="B37" s="20" t="s">
        <v>131</v>
      </c>
      <c r="C37" s="54" t="s">
        <v>132</v>
      </c>
      <c r="D37" s="18">
        <v>0</v>
      </c>
      <c r="E37" s="32">
        <v>0</v>
      </c>
      <c r="F37" s="36"/>
      <c r="G37" s="36"/>
      <c r="H37" s="37"/>
      <c r="I37" s="37"/>
      <c r="J37"/>
      <c r="K37"/>
    </row>
    <row r="38" spans="1:11" ht="12.75">
      <c r="A38" s="55" t="s">
        <v>103</v>
      </c>
      <c r="B38" s="21" t="s">
        <v>133</v>
      </c>
      <c r="C38" s="22" t="s">
        <v>61</v>
      </c>
      <c r="D38" s="18">
        <v>0</v>
      </c>
      <c r="E38" s="32">
        <v>0</v>
      </c>
      <c r="F38" s="36"/>
      <c r="G38" s="36"/>
      <c r="H38" s="37"/>
      <c r="I38" s="37"/>
      <c r="J38"/>
      <c r="K38"/>
    </row>
    <row r="39" spans="1:11" ht="12.75">
      <c r="A39" s="142" t="s">
        <v>145</v>
      </c>
      <c r="B39" s="140"/>
      <c r="C39" s="140"/>
      <c r="D39" s="141"/>
      <c r="E39" s="40">
        <f>SUM(E15:E38)</f>
        <v>10.27218</v>
      </c>
      <c r="F39" s="41">
        <f>SUM(F15:F38)</f>
        <v>5.36</v>
      </c>
      <c r="G39" s="41">
        <f>SUM(G15:G38)</f>
        <v>2.45609</v>
      </c>
      <c r="H39" s="41">
        <f>SUM(H15:H38)</f>
        <v>2.45609</v>
      </c>
      <c r="I39" s="42">
        <f>SUM(I15:I38)</f>
        <v>0</v>
      </c>
      <c r="J39" s="71">
        <f>F39+G39+H39+I39</f>
        <v>10.27218</v>
      </c>
      <c r="K39" s="43"/>
    </row>
    <row r="40" spans="1:9" ht="12.75">
      <c r="A40" s="147" t="s">
        <v>55</v>
      </c>
      <c r="B40" s="148"/>
      <c r="C40" s="148"/>
      <c r="D40" s="149"/>
      <c r="E40" s="39"/>
      <c r="F40" s="36"/>
      <c r="G40" s="36"/>
      <c r="H40" s="37"/>
      <c r="I40" s="37"/>
    </row>
    <row r="41" spans="1:9" ht="12.75">
      <c r="A41" s="53" t="s">
        <v>7</v>
      </c>
      <c r="B41" s="56" t="s">
        <v>8</v>
      </c>
      <c r="C41" s="20"/>
      <c r="D41" s="18"/>
      <c r="E41" s="32"/>
      <c r="F41" s="36"/>
      <c r="G41" s="36"/>
      <c r="H41" s="37"/>
      <c r="I41" s="37"/>
    </row>
    <row r="42" spans="1:9" ht="12.75">
      <c r="A42" s="20" t="s">
        <v>9</v>
      </c>
      <c r="B42" s="20" t="s">
        <v>56</v>
      </c>
      <c r="C42" s="20"/>
      <c r="D42" s="18"/>
      <c r="E42" s="32"/>
      <c r="F42" s="36"/>
      <c r="G42" s="36"/>
      <c r="H42" s="37"/>
      <c r="I42" s="37"/>
    </row>
    <row r="43" spans="1:9" ht="12.75">
      <c r="A43" s="20"/>
      <c r="B43" s="20" t="s">
        <v>57</v>
      </c>
      <c r="C43" s="22" t="s">
        <v>14</v>
      </c>
      <c r="D43" s="18">
        <v>0</v>
      </c>
      <c r="E43" s="32">
        <f>D43*1.1</f>
        <v>0</v>
      </c>
      <c r="F43" s="36"/>
      <c r="G43" s="36"/>
      <c r="H43" s="37"/>
      <c r="I43" s="36"/>
    </row>
    <row r="44" spans="1:9" ht="25.5">
      <c r="A44" s="20"/>
      <c r="B44" s="20" t="s">
        <v>58</v>
      </c>
      <c r="C44" s="22" t="s">
        <v>59</v>
      </c>
      <c r="D44" s="18">
        <v>0</v>
      </c>
      <c r="E44" s="32">
        <f>D44*0.4</f>
        <v>0</v>
      </c>
      <c r="F44" s="36"/>
      <c r="G44" s="36"/>
      <c r="H44" s="37"/>
      <c r="I44" s="37"/>
    </row>
    <row r="45" spans="1:9" ht="12.75">
      <c r="A45" s="20" t="s">
        <v>12</v>
      </c>
      <c r="B45" s="21" t="s">
        <v>60</v>
      </c>
      <c r="C45" s="22" t="s">
        <v>61</v>
      </c>
      <c r="D45" s="18">
        <v>12</v>
      </c>
      <c r="E45" s="32">
        <f>0.1*D45</f>
        <v>1.2000000000000002</v>
      </c>
      <c r="F45" s="36">
        <f>E45/4</f>
        <v>0.30000000000000004</v>
      </c>
      <c r="G45" s="36">
        <v>0.3</v>
      </c>
      <c r="H45" s="37">
        <v>0.3</v>
      </c>
      <c r="I45" s="36">
        <v>0.3</v>
      </c>
    </row>
    <row r="46" spans="1:9" ht="25.5">
      <c r="A46" s="20" t="s">
        <v>15</v>
      </c>
      <c r="B46" s="21" t="s">
        <v>62</v>
      </c>
      <c r="C46" s="22"/>
      <c r="D46" s="18"/>
      <c r="E46" s="32"/>
      <c r="F46" s="36"/>
      <c r="G46" s="36"/>
      <c r="H46" s="37"/>
      <c r="I46" s="37"/>
    </row>
    <row r="47" spans="1:11" ht="12.75">
      <c r="A47" s="20"/>
      <c r="B47" s="20" t="s">
        <v>57</v>
      </c>
      <c r="C47" s="22" t="s">
        <v>14</v>
      </c>
      <c r="D47" s="18">
        <v>0.3</v>
      </c>
      <c r="E47" s="32">
        <f>D47*0.9</f>
        <v>0.27</v>
      </c>
      <c r="F47" s="36"/>
      <c r="G47" s="36">
        <f>E47/2</f>
        <v>0.135</v>
      </c>
      <c r="H47" s="37">
        <v>0.14</v>
      </c>
      <c r="I47" s="36"/>
      <c r="J47"/>
      <c r="K47"/>
    </row>
    <row r="48" spans="1:9" ht="12.75">
      <c r="A48" s="20"/>
      <c r="B48" s="20" t="s">
        <v>63</v>
      </c>
      <c r="C48" s="22" t="s">
        <v>136</v>
      </c>
      <c r="D48" s="18">
        <v>0</v>
      </c>
      <c r="E48" s="32">
        <f>D48*0.01</f>
        <v>0</v>
      </c>
      <c r="F48" s="36"/>
      <c r="G48" s="36"/>
      <c r="H48" s="37"/>
      <c r="I48" s="37"/>
    </row>
    <row r="49" spans="1:9" ht="12.75">
      <c r="A49" s="20"/>
      <c r="B49" s="57" t="s">
        <v>158</v>
      </c>
      <c r="C49" s="22" t="s">
        <v>64</v>
      </c>
      <c r="D49" s="18"/>
      <c r="E49" s="32"/>
      <c r="F49" s="36"/>
      <c r="G49" s="36"/>
      <c r="H49" s="37"/>
      <c r="I49" s="37"/>
    </row>
    <row r="50" spans="1:9" ht="12.75">
      <c r="A50" s="20" t="s">
        <v>17</v>
      </c>
      <c r="B50" s="20" t="s">
        <v>65</v>
      </c>
      <c r="C50" s="22" t="s">
        <v>66</v>
      </c>
      <c r="D50" s="18">
        <v>8</v>
      </c>
      <c r="E50" s="32">
        <f>D50*0.025</f>
        <v>0.2</v>
      </c>
      <c r="F50" s="36">
        <v>0.05</v>
      </c>
      <c r="G50" s="36">
        <v>0.05</v>
      </c>
      <c r="H50" s="37">
        <v>0.05</v>
      </c>
      <c r="I50" s="37">
        <v>0.05</v>
      </c>
    </row>
    <row r="51" spans="1:9" ht="12.75">
      <c r="A51" s="20" t="s">
        <v>19</v>
      </c>
      <c r="B51" s="20" t="s">
        <v>67</v>
      </c>
      <c r="C51" s="22" t="s">
        <v>68</v>
      </c>
      <c r="D51" s="18">
        <v>4</v>
      </c>
      <c r="E51" s="32">
        <f>D51*0.04</f>
        <v>0.16</v>
      </c>
      <c r="F51" s="36"/>
      <c r="G51" s="36">
        <v>0.08</v>
      </c>
      <c r="H51" s="37">
        <v>0.08</v>
      </c>
      <c r="I51" s="37"/>
    </row>
    <row r="52" spans="1:9" ht="12.75">
      <c r="A52" s="20" t="s">
        <v>21</v>
      </c>
      <c r="B52" s="20" t="s">
        <v>69</v>
      </c>
      <c r="C52" s="22" t="s">
        <v>87</v>
      </c>
      <c r="D52" s="18">
        <v>0</v>
      </c>
      <c r="E52" s="32">
        <f>D52*0.068</f>
        <v>0</v>
      </c>
      <c r="F52" s="36"/>
      <c r="G52" s="36"/>
      <c r="H52" s="37"/>
      <c r="I52" s="36"/>
    </row>
    <row r="53" spans="1:9" ht="25.5">
      <c r="A53" s="46" t="s">
        <v>23</v>
      </c>
      <c r="B53" s="21" t="s">
        <v>71</v>
      </c>
      <c r="C53" s="22" t="s">
        <v>72</v>
      </c>
      <c r="D53" s="18">
        <v>0</v>
      </c>
      <c r="E53" s="32">
        <f>D53*0.05</f>
        <v>0</v>
      </c>
      <c r="F53" s="36"/>
      <c r="G53" s="36"/>
      <c r="H53" s="37"/>
      <c r="I53" s="37"/>
    </row>
    <row r="54" spans="1:9" ht="12.75">
      <c r="A54" s="20" t="s">
        <v>73</v>
      </c>
      <c r="B54" s="20" t="s">
        <v>74</v>
      </c>
      <c r="C54" s="22" t="s">
        <v>75</v>
      </c>
      <c r="D54" s="18">
        <v>0</v>
      </c>
      <c r="E54" s="32">
        <f>D54*0.1</f>
        <v>0</v>
      </c>
      <c r="F54" s="36"/>
      <c r="G54" s="36"/>
      <c r="H54" s="37"/>
      <c r="I54" s="37"/>
    </row>
    <row r="55" spans="1:9" ht="25.5">
      <c r="A55" s="20" t="s">
        <v>26</v>
      </c>
      <c r="B55" s="21" t="s">
        <v>77</v>
      </c>
      <c r="C55" s="22" t="s">
        <v>68</v>
      </c>
      <c r="D55" s="18">
        <v>0</v>
      </c>
      <c r="E55" s="32">
        <f>D55*0.032</f>
        <v>0</v>
      </c>
      <c r="F55" s="36"/>
      <c r="G55" s="36"/>
      <c r="H55" s="37"/>
      <c r="I55" s="36"/>
    </row>
    <row r="56" spans="1:9" ht="25.5">
      <c r="A56" s="20" t="s">
        <v>28</v>
      </c>
      <c r="B56" s="21" t="s">
        <v>79</v>
      </c>
      <c r="C56" s="22" t="s">
        <v>80</v>
      </c>
      <c r="D56" s="18"/>
      <c r="E56" s="32"/>
      <c r="F56" s="36"/>
      <c r="G56" s="36"/>
      <c r="H56" s="37"/>
      <c r="I56" s="37"/>
    </row>
    <row r="57" spans="1:9" ht="12.75">
      <c r="A57" s="20" t="s">
        <v>70</v>
      </c>
      <c r="B57" s="21" t="s">
        <v>82</v>
      </c>
      <c r="C57" s="22" t="s">
        <v>83</v>
      </c>
      <c r="D57" s="18">
        <v>12</v>
      </c>
      <c r="E57" s="32">
        <v>0.28</v>
      </c>
      <c r="F57" s="36"/>
      <c r="G57" s="36">
        <v>0.14</v>
      </c>
      <c r="H57" s="37"/>
      <c r="I57" s="37">
        <v>0.14</v>
      </c>
    </row>
    <row r="58" spans="1:9" ht="12.75">
      <c r="A58" s="20" t="s">
        <v>73</v>
      </c>
      <c r="B58" s="21" t="s">
        <v>154</v>
      </c>
      <c r="C58" s="22" t="s">
        <v>144</v>
      </c>
      <c r="D58" s="18">
        <v>6</v>
      </c>
      <c r="E58" s="32">
        <f>D58*0.128</f>
        <v>0.768</v>
      </c>
      <c r="F58" s="36"/>
      <c r="G58" s="36"/>
      <c r="H58" s="37">
        <v>0.77</v>
      </c>
      <c r="I58" s="37"/>
    </row>
    <row r="59" spans="1:9" ht="12.75">
      <c r="A59" s="20" t="s">
        <v>76</v>
      </c>
      <c r="B59" s="21" t="s">
        <v>155</v>
      </c>
      <c r="C59" s="22" t="s">
        <v>144</v>
      </c>
      <c r="D59" s="18">
        <v>2</v>
      </c>
      <c r="E59" s="32">
        <f>D59*0.152</f>
        <v>0.304</v>
      </c>
      <c r="F59" s="36"/>
      <c r="G59" s="36"/>
      <c r="H59" s="37">
        <v>0.3</v>
      </c>
      <c r="I59" s="37"/>
    </row>
    <row r="60" spans="1:9" ht="12" customHeight="1">
      <c r="A60" s="46" t="s">
        <v>78</v>
      </c>
      <c r="B60" s="21" t="s">
        <v>84</v>
      </c>
      <c r="C60" s="22" t="s">
        <v>85</v>
      </c>
      <c r="D60" s="18">
        <v>2</v>
      </c>
      <c r="E60" s="32">
        <f>D60*0.1</f>
        <v>0.2</v>
      </c>
      <c r="F60" s="36"/>
      <c r="G60" s="36">
        <v>0.2</v>
      </c>
      <c r="H60" s="37"/>
      <c r="I60" s="36"/>
    </row>
    <row r="61" spans="1:9" ht="12.75">
      <c r="A61" s="46" t="s">
        <v>81</v>
      </c>
      <c r="B61" s="21" t="s">
        <v>86</v>
      </c>
      <c r="C61" s="22" t="s">
        <v>87</v>
      </c>
      <c r="D61" s="18">
        <v>0</v>
      </c>
      <c r="E61" s="32">
        <f>D61*0.03</f>
        <v>0</v>
      </c>
      <c r="F61" s="36"/>
      <c r="G61" s="36"/>
      <c r="H61" s="37"/>
      <c r="I61" s="37"/>
    </row>
    <row r="62" spans="1:9" ht="12.75">
      <c r="A62" s="46" t="s">
        <v>156</v>
      </c>
      <c r="B62" s="21" t="s">
        <v>88</v>
      </c>
      <c r="C62" s="22" t="s">
        <v>89</v>
      </c>
      <c r="D62" s="18">
        <v>0</v>
      </c>
      <c r="E62" s="32">
        <f>D62*0.02</f>
        <v>0</v>
      </c>
      <c r="F62" s="36"/>
      <c r="G62" s="36"/>
      <c r="H62" s="37"/>
      <c r="I62" s="37"/>
    </row>
    <row r="63" spans="1:9" ht="12.75">
      <c r="A63" s="46" t="s">
        <v>157</v>
      </c>
      <c r="B63" s="37" t="s">
        <v>143</v>
      </c>
      <c r="C63" s="37" t="s">
        <v>144</v>
      </c>
      <c r="D63" s="37">
        <v>6</v>
      </c>
      <c r="E63" s="37">
        <f>D63*0.15</f>
        <v>0.8999999999999999</v>
      </c>
      <c r="F63" s="36">
        <f>E63/4</f>
        <v>0.22499999999999998</v>
      </c>
      <c r="G63" s="36">
        <v>0.23</v>
      </c>
      <c r="H63" s="36">
        <v>0.23</v>
      </c>
      <c r="I63" s="36">
        <f>E63-F63-G63-H63</f>
        <v>0.21499999999999994</v>
      </c>
    </row>
    <row r="64" spans="1:9" ht="12.75">
      <c r="A64" s="20" t="s">
        <v>31</v>
      </c>
      <c r="B64" s="137" t="s">
        <v>32</v>
      </c>
      <c r="C64" s="138"/>
      <c r="D64" s="138"/>
      <c r="E64" s="26"/>
      <c r="F64" s="36"/>
      <c r="G64" s="36"/>
      <c r="H64" s="36"/>
      <c r="I64" s="36"/>
    </row>
    <row r="65" spans="1:9" ht="12.75">
      <c r="A65" s="20" t="s">
        <v>33</v>
      </c>
      <c r="B65" s="21" t="s">
        <v>90</v>
      </c>
      <c r="C65" s="22" t="s">
        <v>91</v>
      </c>
      <c r="D65" s="18">
        <v>0</v>
      </c>
      <c r="E65" s="32">
        <f>D65*0.2</f>
        <v>0</v>
      </c>
      <c r="F65" s="36"/>
      <c r="G65" s="36"/>
      <c r="H65" s="37"/>
      <c r="I65" s="37"/>
    </row>
    <row r="66" spans="1:9" ht="12.75">
      <c r="A66" s="20" t="s">
        <v>39</v>
      </c>
      <c r="B66" s="137" t="s">
        <v>32</v>
      </c>
      <c r="C66" s="138"/>
      <c r="D66" s="138"/>
      <c r="E66" s="26"/>
      <c r="F66" s="36"/>
      <c r="G66" s="36"/>
      <c r="H66" s="37"/>
      <c r="I66" s="37"/>
    </row>
    <row r="67" spans="1:9" ht="11.25" customHeight="1">
      <c r="A67" s="20" t="s">
        <v>40</v>
      </c>
      <c r="B67" s="21" t="s">
        <v>92</v>
      </c>
      <c r="C67" s="22" t="s">
        <v>93</v>
      </c>
      <c r="D67" s="18">
        <v>0</v>
      </c>
      <c r="E67" s="32">
        <f>D67*0.3</f>
        <v>0</v>
      </c>
      <c r="F67" s="36"/>
      <c r="G67" s="36"/>
      <c r="H67" s="37"/>
      <c r="I67" s="37"/>
    </row>
    <row r="68" spans="1:9" ht="12.75">
      <c r="A68" s="20" t="s">
        <v>41</v>
      </c>
      <c r="B68" s="21" t="s">
        <v>94</v>
      </c>
      <c r="C68" s="22" t="s">
        <v>95</v>
      </c>
      <c r="D68" s="18"/>
      <c r="E68" s="32"/>
      <c r="F68" s="36"/>
      <c r="G68" s="36"/>
      <c r="H68" s="37"/>
      <c r="I68" s="37"/>
    </row>
    <row r="69" spans="1:9" ht="12.75">
      <c r="A69" s="20" t="s">
        <v>47</v>
      </c>
      <c r="B69" s="21" t="s">
        <v>96</v>
      </c>
      <c r="C69" s="22" t="s">
        <v>97</v>
      </c>
      <c r="D69" s="18">
        <v>0</v>
      </c>
      <c r="E69" s="32">
        <f>D69*0.0976</f>
        <v>0</v>
      </c>
      <c r="F69" s="36"/>
      <c r="G69" s="36"/>
      <c r="H69" s="37"/>
      <c r="I69" s="37"/>
    </row>
    <row r="70" spans="1:9" ht="12.75">
      <c r="A70" s="20" t="s">
        <v>52</v>
      </c>
      <c r="B70" s="21" t="s">
        <v>98</v>
      </c>
      <c r="C70" s="22" t="s">
        <v>91</v>
      </c>
      <c r="D70" s="18">
        <v>0</v>
      </c>
      <c r="E70" s="32">
        <f>D70*0.874</f>
        <v>0</v>
      </c>
      <c r="F70" s="36"/>
      <c r="G70" s="36"/>
      <c r="H70" s="37"/>
      <c r="I70" s="37"/>
    </row>
    <row r="71" spans="1:9" ht="12.75">
      <c r="A71" s="20" t="s">
        <v>99</v>
      </c>
      <c r="B71" s="21" t="s">
        <v>100</v>
      </c>
      <c r="C71" s="22" t="s">
        <v>101</v>
      </c>
      <c r="D71" s="18">
        <v>0</v>
      </c>
      <c r="E71" s="32">
        <f>D71*0.1</f>
        <v>0</v>
      </c>
      <c r="F71" s="36"/>
      <c r="G71" s="36"/>
      <c r="H71" s="37"/>
      <c r="I71" s="37"/>
    </row>
    <row r="72" spans="1:9" ht="12.75">
      <c r="A72" s="20" t="s">
        <v>102</v>
      </c>
      <c r="B72" s="21" t="s">
        <v>134</v>
      </c>
      <c r="C72" s="22" t="s">
        <v>130</v>
      </c>
      <c r="D72" s="18">
        <v>0</v>
      </c>
      <c r="E72" s="32">
        <f>D72*0.85</f>
        <v>0</v>
      </c>
      <c r="F72" s="36"/>
      <c r="G72" s="36"/>
      <c r="H72" s="37"/>
      <c r="I72" s="36"/>
    </row>
    <row r="73" spans="1:9" ht="12.75">
      <c r="A73" s="20" t="s">
        <v>103</v>
      </c>
      <c r="B73" s="57" t="s">
        <v>135</v>
      </c>
      <c r="C73" s="58" t="s">
        <v>130</v>
      </c>
      <c r="D73" s="18">
        <v>0</v>
      </c>
      <c r="E73" s="32">
        <v>0</v>
      </c>
      <c r="F73" s="36"/>
      <c r="G73" s="36"/>
      <c r="H73" s="37"/>
      <c r="I73" s="37"/>
    </row>
    <row r="74" spans="1:11" ht="12.75">
      <c r="A74" s="142" t="s">
        <v>146</v>
      </c>
      <c r="B74" s="140"/>
      <c r="C74" s="140"/>
      <c r="D74" s="141"/>
      <c r="E74" s="40">
        <f>SUM(E43:E73)</f>
        <v>4.282</v>
      </c>
      <c r="F74" s="41">
        <f>SUM(F42:F73)</f>
        <v>0.575</v>
      </c>
      <c r="G74" s="41">
        <f>SUM(G42:G73)</f>
        <v>1.135</v>
      </c>
      <c r="H74" s="42">
        <f>SUM(H42:H73)</f>
        <v>1.8699999999999999</v>
      </c>
      <c r="I74" s="41">
        <f>SUM(I42:I73)</f>
        <v>0.705</v>
      </c>
      <c r="J74" s="72">
        <f>F74+G74+H74+I74</f>
        <v>4.285</v>
      </c>
      <c r="K74" s="68"/>
    </row>
    <row r="75" spans="1:9" ht="12.75">
      <c r="A75" s="51" t="s">
        <v>104</v>
      </c>
      <c r="B75" s="39"/>
      <c r="C75" s="39"/>
      <c r="D75" s="39"/>
      <c r="E75" s="33"/>
      <c r="F75" s="36"/>
      <c r="G75" s="36"/>
      <c r="H75" s="37"/>
      <c r="I75" s="37"/>
    </row>
    <row r="76" spans="1:9" ht="12.75">
      <c r="A76" s="53" t="s">
        <v>7</v>
      </c>
      <c r="B76" s="56" t="s">
        <v>105</v>
      </c>
      <c r="C76" s="22"/>
      <c r="D76" s="18"/>
      <c r="E76" s="32"/>
      <c r="F76" s="36"/>
      <c r="G76" s="36"/>
      <c r="H76" s="37"/>
      <c r="I76" s="37"/>
    </row>
    <row r="77" spans="1:9" ht="12.75">
      <c r="A77" s="20" t="s">
        <v>9</v>
      </c>
      <c r="B77" s="20" t="s">
        <v>106</v>
      </c>
      <c r="C77" s="22" t="s">
        <v>107</v>
      </c>
      <c r="D77" s="18"/>
      <c r="E77" s="32"/>
      <c r="F77" s="36"/>
      <c r="G77" s="36"/>
      <c r="H77" s="37"/>
      <c r="I77" s="37"/>
    </row>
    <row r="78" spans="1:9" ht="12.75">
      <c r="A78" s="20" t="s">
        <v>12</v>
      </c>
      <c r="B78" s="21" t="s">
        <v>108</v>
      </c>
      <c r="C78" s="22" t="s">
        <v>109</v>
      </c>
      <c r="D78" s="18"/>
      <c r="E78" s="32"/>
      <c r="F78" s="36"/>
      <c r="G78" s="36"/>
      <c r="H78" s="37"/>
      <c r="I78" s="37"/>
    </row>
    <row r="79" spans="1:9" ht="12.75">
      <c r="A79" s="20" t="s">
        <v>15</v>
      </c>
      <c r="B79" s="21" t="s">
        <v>110</v>
      </c>
      <c r="C79" s="22" t="s">
        <v>107</v>
      </c>
      <c r="D79" s="18">
        <v>0</v>
      </c>
      <c r="E79" s="32">
        <v>0</v>
      </c>
      <c r="F79" s="36"/>
      <c r="G79" s="36"/>
      <c r="H79" s="37"/>
      <c r="I79" s="37"/>
    </row>
    <row r="80" spans="1:9" ht="12.75">
      <c r="A80" s="20" t="s">
        <v>31</v>
      </c>
      <c r="B80" s="56" t="s">
        <v>111</v>
      </c>
      <c r="C80" s="22"/>
      <c r="D80" s="18"/>
      <c r="E80" s="32"/>
      <c r="F80" s="36"/>
      <c r="G80" s="36"/>
      <c r="H80" s="37"/>
      <c r="I80" s="37"/>
    </row>
    <row r="81" spans="1:9" ht="25.5">
      <c r="A81" s="20"/>
      <c r="B81" s="21" t="s">
        <v>112</v>
      </c>
      <c r="C81" s="22" t="s">
        <v>113</v>
      </c>
      <c r="D81" s="18"/>
      <c r="E81" s="32"/>
      <c r="F81" s="36"/>
      <c r="G81" s="36"/>
      <c r="H81" s="37"/>
      <c r="I81" s="37"/>
    </row>
    <row r="82" spans="1:9" ht="25.5">
      <c r="A82" s="20"/>
      <c r="B82" s="21" t="s">
        <v>114</v>
      </c>
      <c r="C82" s="22" t="s">
        <v>113</v>
      </c>
      <c r="D82" s="18"/>
      <c r="E82" s="32">
        <v>0</v>
      </c>
      <c r="F82" s="36"/>
      <c r="G82" s="36"/>
      <c r="H82" s="37"/>
      <c r="I82" s="36"/>
    </row>
    <row r="83" spans="1:11" ht="12.75">
      <c r="A83" s="139" t="s">
        <v>147</v>
      </c>
      <c r="B83" s="140"/>
      <c r="C83" s="140"/>
      <c r="D83" s="141"/>
      <c r="E83" s="40">
        <f>SUM(E77:E82)</f>
        <v>0</v>
      </c>
      <c r="F83" s="41">
        <f>SUM(F77:F82)</f>
        <v>0</v>
      </c>
      <c r="G83" s="41">
        <f>SUM(G77:G82)</f>
        <v>0</v>
      </c>
      <c r="H83" s="42">
        <f>SUM(H77:H82)</f>
        <v>0</v>
      </c>
      <c r="I83" s="41">
        <f>SUM(I77:I82)</f>
        <v>0</v>
      </c>
      <c r="J83" s="68"/>
      <c r="K83" s="68"/>
    </row>
    <row r="84" spans="1:9" ht="12.75">
      <c r="A84" s="136" t="s">
        <v>115</v>
      </c>
      <c r="B84" s="136"/>
      <c r="C84" s="136"/>
      <c r="D84" s="136"/>
      <c r="E84" s="34"/>
      <c r="F84" s="36"/>
      <c r="G84" s="36"/>
      <c r="H84" s="37"/>
      <c r="I84" s="37"/>
    </row>
    <row r="85" spans="1:9" ht="12.75">
      <c r="A85" s="59">
        <v>1</v>
      </c>
      <c r="B85" s="53" t="s">
        <v>126</v>
      </c>
      <c r="C85" s="60" t="s">
        <v>127</v>
      </c>
      <c r="D85" s="52">
        <v>523.6</v>
      </c>
      <c r="E85" s="35">
        <f>D85*0.59*12/1000</f>
        <v>3.7070879999999997</v>
      </c>
      <c r="F85" s="36">
        <f>E85/4</f>
        <v>0.9267719999999999</v>
      </c>
      <c r="G85" s="36">
        <v>0.93</v>
      </c>
      <c r="H85" s="37">
        <v>0.93</v>
      </c>
      <c r="I85" s="36">
        <f>E85-F85-G85-H85</f>
        <v>0.9203159999999998</v>
      </c>
    </row>
    <row r="86" spans="1:9" ht="12.75">
      <c r="A86" s="59">
        <v>2</v>
      </c>
      <c r="B86" s="53" t="s">
        <v>116</v>
      </c>
      <c r="C86" s="60" t="s">
        <v>117</v>
      </c>
      <c r="D86" s="52">
        <v>0</v>
      </c>
      <c r="E86" s="31">
        <f>D86*1.06*2/1000</f>
        <v>0</v>
      </c>
      <c r="F86" s="36"/>
      <c r="G86" s="36"/>
      <c r="H86" s="37"/>
      <c r="I86" s="37"/>
    </row>
    <row r="87" spans="1:9" ht="25.5">
      <c r="A87" s="59">
        <v>3</v>
      </c>
      <c r="B87" s="61" t="s">
        <v>128</v>
      </c>
      <c r="C87" s="60"/>
      <c r="D87" s="52"/>
      <c r="E87" s="35">
        <v>18.83</v>
      </c>
      <c r="F87" s="36">
        <f>E87/4</f>
        <v>4.7075</v>
      </c>
      <c r="G87" s="36">
        <v>4.71</v>
      </c>
      <c r="H87" s="37">
        <v>4.71</v>
      </c>
      <c r="I87" s="36">
        <v>4.71</v>
      </c>
    </row>
    <row r="88" spans="1:10" ht="12.75">
      <c r="A88" s="59">
        <v>4</v>
      </c>
      <c r="B88" s="63" t="s">
        <v>191</v>
      </c>
      <c r="C88" s="80">
        <v>0.149</v>
      </c>
      <c r="D88" s="52"/>
      <c r="E88" s="31">
        <v>4.624</v>
      </c>
      <c r="F88" s="36">
        <f>E88/4</f>
        <v>1.156</v>
      </c>
      <c r="G88" s="36">
        <v>1.16</v>
      </c>
      <c r="H88" s="37">
        <v>1.16</v>
      </c>
      <c r="I88" s="36">
        <f>E88-F88-G88-H88</f>
        <v>1.148</v>
      </c>
      <c r="J88" s="23">
        <f>F90+G90+H90+I90</f>
        <v>41.725768</v>
      </c>
    </row>
    <row r="89" spans="1:11" ht="12.75">
      <c r="A89" s="142" t="s">
        <v>149</v>
      </c>
      <c r="B89" s="140"/>
      <c r="C89" s="140"/>
      <c r="D89" s="141"/>
      <c r="E89" s="40">
        <f>SUM(E85:E88)</f>
        <v>27.161087999999996</v>
      </c>
      <c r="F89" s="41">
        <f>SUM(F85:F88)</f>
        <v>6.790271999999999</v>
      </c>
      <c r="G89" s="41">
        <f>SUM(G85:G88)</f>
        <v>6.8</v>
      </c>
      <c r="H89" s="42">
        <f>SUM(H85:H88)</f>
        <v>6.8</v>
      </c>
      <c r="I89" s="41">
        <f>SUM(I85:I88)</f>
        <v>6.778315999999999</v>
      </c>
      <c r="J89" s="68"/>
      <c r="K89" s="68"/>
    </row>
    <row r="90" spans="1:11" ht="12.75">
      <c r="A90" s="139" t="s">
        <v>150</v>
      </c>
      <c r="B90" s="140"/>
      <c r="C90" s="140"/>
      <c r="D90" s="141"/>
      <c r="E90" s="40">
        <f>E39+E74+E83+E89</f>
        <v>41.715267999999995</v>
      </c>
      <c r="F90" s="41">
        <f>F39+F74+F83+F89</f>
        <v>12.725272</v>
      </c>
      <c r="G90" s="41">
        <f>G39+G74+G83+G89</f>
        <v>10.39109</v>
      </c>
      <c r="H90" s="41">
        <f>H39+H74+H83+H89</f>
        <v>11.12609</v>
      </c>
      <c r="I90" s="41">
        <f>I39+I74+I83+I89</f>
        <v>7.483315999999999</v>
      </c>
      <c r="J90" s="24">
        <v>41.716</v>
      </c>
      <c r="K90" s="23">
        <f>J90-E90</f>
        <v>0.0007320000000063942</v>
      </c>
    </row>
    <row r="91" spans="1:9" ht="12.75">
      <c r="A91" s="121" t="s">
        <v>151</v>
      </c>
      <c r="B91" s="122"/>
      <c r="C91" s="122"/>
      <c r="D91" s="122"/>
      <c r="E91" s="123"/>
      <c r="F91" s="36"/>
      <c r="G91" s="36"/>
      <c r="H91" s="37"/>
      <c r="I91" s="37"/>
    </row>
    <row r="92" spans="1:9" ht="25.5">
      <c r="A92" s="150">
        <v>1</v>
      </c>
      <c r="B92" s="62" t="s">
        <v>188</v>
      </c>
      <c r="C92" s="66" t="s">
        <v>107</v>
      </c>
      <c r="D92" s="52">
        <v>523.6</v>
      </c>
      <c r="E92" s="104">
        <f>D92*1.62*12/1000</f>
        <v>10.178784000000002</v>
      </c>
      <c r="F92" s="97">
        <f>E92/4</f>
        <v>2.5446960000000005</v>
      </c>
      <c r="G92" s="97">
        <v>2.5</v>
      </c>
      <c r="H92" s="97">
        <v>2.5</v>
      </c>
      <c r="I92" s="97">
        <v>2.5</v>
      </c>
    </row>
    <row r="93" spans="1:9" ht="12.75">
      <c r="A93" s="151"/>
      <c r="B93" s="62" t="s">
        <v>183</v>
      </c>
      <c r="C93" s="66"/>
      <c r="D93" s="52"/>
      <c r="E93" s="104">
        <f>10.492-E92</f>
        <v>0.31321599999999883</v>
      </c>
      <c r="F93" s="97">
        <f>E93/4</f>
        <v>0.07830399999999971</v>
      </c>
      <c r="G93" s="97">
        <v>0.1</v>
      </c>
      <c r="H93" s="97">
        <v>0.1</v>
      </c>
      <c r="I93" s="97">
        <v>0.1</v>
      </c>
    </row>
    <row r="94" spans="1:9" ht="12.75">
      <c r="A94" s="152"/>
      <c r="B94" s="82" t="s">
        <v>189</v>
      </c>
      <c r="C94" s="81"/>
      <c r="D94" s="41"/>
      <c r="E94" s="99">
        <f>SUM(E92:E93)</f>
        <v>10.492</v>
      </c>
      <c r="F94" s="100">
        <v>2.6</v>
      </c>
      <c r="G94" s="100">
        <f>SUM(G92:G93)</f>
        <v>2.6</v>
      </c>
      <c r="H94" s="100">
        <f>SUM(H92:H93)</f>
        <v>2.6</v>
      </c>
      <c r="I94" s="100">
        <f>SUM(I92:I93)</f>
        <v>2.6</v>
      </c>
    </row>
    <row r="95" spans="1:9" ht="12.75">
      <c r="A95" s="126" t="s">
        <v>152</v>
      </c>
      <c r="B95" s="119"/>
      <c r="C95" s="119"/>
      <c r="D95" s="119"/>
      <c r="E95" s="106">
        <f>SUM(E94)</f>
        <v>10.492</v>
      </c>
      <c r="F95" s="100">
        <f>SUM(F94)</f>
        <v>2.6</v>
      </c>
      <c r="G95" s="100">
        <f>SUM(G94)</f>
        <v>2.6</v>
      </c>
      <c r="H95" s="100">
        <f>SUM(H94)</f>
        <v>2.6</v>
      </c>
      <c r="I95" s="100">
        <f>SUM(I94)</f>
        <v>2.6</v>
      </c>
    </row>
    <row r="96" spans="1:10" ht="15.75">
      <c r="A96" s="145" t="s">
        <v>153</v>
      </c>
      <c r="B96" s="146"/>
      <c r="C96" s="146"/>
      <c r="D96" s="146"/>
      <c r="E96" s="65">
        <f>E90+E95</f>
        <v>52.207268</v>
      </c>
      <c r="F96" s="65">
        <f>F90+F95</f>
        <v>15.325272</v>
      </c>
      <c r="G96" s="65">
        <f>G90+G95</f>
        <v>12.99109</v>
      </c>
      <c r="H96" s="65">
        <f>H90+H95</f>
        <v>13.72609</v>
      </c>
      <c r="I96" s="65">
        <f>I90+I95</f>
        <v>10.083316</v>
      </c>
      <c r="J96" s="23"/>
    </row>
    <row r="97" spans="1:9" ht="12.75">
      <c r="A97" s="124" t="s">
        <v>118</v>
      </c>
      <c r="B97" s="124"/>
      <c r="C97" s="124"/>
      <c r="D97" s="124"/>
      <c r="E97" s="125"/>
      <c r="F97" s="36"/>
      <c r="G97" s="36"/>
      <c r="H97" s="37"/>
      <c r="I97" s="37"/>
    </row>
    <row r="98" spans="1:9" ht="12.75">
      <c r="A98" s="53" t="s">
        <v>7</v>
      </c>
      <c r="B98" s="53" t="s">
        <v>119</v>
      </c>
      <c r="C98" s="66" t="s">
        <v>120</v>
      </c>
      <c r="D98" s="52">
        <v>110.691</v>
      </c>
      <c r="E98" s="31"/>
      <c r="F98" s="36"/>
      <c r="G98" s="36"/>
      <c r="H98" s="37"/>
      <c r="I98" s="37"/>
    </row>
    <row r="99" spans="1:9" ht="12.75">
      <c r="A99" s="53" t="s">
        <v>31</v>
      </c>
      <c r="B99" s="53" t="s">
        <v>121</v>
      </c>
      <c r="C99" s="66" t="s">
        <v>122</v>
      </c>
      <c r="D99" s="52">
        <f>12+4</f>
        <v>16</v>
      </c>
      <c r="E99" s="31"/>
      <c r="F99" s="36"/>
      <c r="G99" s="36"/>
      <c r="H99" s="37"/>
      <c r="I99" s="37"/>
    </row>
    <row r="100" spans="1:11" ht="12.75">
      <c r="A100" s="53" t="s">
        <v>39</v>
      </c>
      <c r="B100" s="53" t="s">
        <v>123</v>
      </c>
      <c r="C100" s="66" t="s">
        <v>122</v>
      </c>
      <c r="D100" s="52">
        <f>396+160+120+144+153+153+63+40+196+220+60+60+60+80</f>
        <v>1905</v>
      </c>
      <c r="E100" s="31"/>
      <c r="F100" s="36"/>
      <c r="G100" s="36"/>
      <c r="H100" s="37"/>
      <c r="I100" s="37"/>
      <c r="J100"/>
      <c r="K100"/>
    </row>
    <row r="101" spans="1:7" ht="12.75">
      <c r="A101" s="67"/>
      <c r="B101" s="67"/>
      <c r="C101" s="67"/>
      <c r="D101" s="25"/>
      <c r="E101" s="25"/>
      <c r="F101" s="23"/>
      <c r="G101" s="23"/>
    </row>
    <row r="102" spans="1:7" ht="12.75">
      <c r="A102" s="67"/>
      <c r="B102" s="67" t="s">
        <v>124</v>
      </c>
      <c r="C102" s="162" t="s">
        <v>176</v>
      </c>
      <c r="D102" s="163"/>
      <c r="E102" s="163"/>
      <c r="F102" s="23"/>
      <c r="G102" s="23"/>
    </row>
    <row r="103" spans="1:7" ht="12.75">
      <c r="A103" s="67"/>
      <c r="B103" s="67"/>
      <c r="C103" s="67"/>
      <c r="D103" s="25"/>
      <c r="E103" s="25"/>
      <c r="F103" s="23"/>
      <c r="G103" s="23"/>
    </row>
    <row r="104" spans="2:7" ht="12.75">
      <c r="B104" s="95" t="s">
        <v>194</v>
      </c>
      <c r="C104" s="24" t="s">
        <v>206</v>
      </c>
      <c r="D104" s="23"/>
      <c r="E104" s="23"/>
      <c r="F104" s="23"/>
      <c r="G104" s="23"/>
    </row>
  </sheetData>
  <mergeCells count="33">
    <mergeCell ref="A7:I7"/>
    <mergeCell ref="A8:I8"/>
    <mergeCell ref="A9:I9"/>
    <mergeCell ref="E2:I2"/>
    <mergeCell ref="E3:I3"/>
    <mergeCell ref="E4:I4"/>
    <mergeCell ref="E5:I5"/>
    <mergeCell ref="A11:A12"/>
    <mergeCell ref="B11:B12"/>
    <mergeCell ref="C11:C12"/>
    <mergeCell ref="D11:E11"/>
    <mergeCell ref="F11:F12"/>
    <mergeCell ref="G11:G12"/>
    <mergeCell ref="H11:H12"/>
    <mergeCell ref="I11:I12"/>
    <mergeCell ref="B14:E14"/>
    <mergeCell ref="B24:D24"/>
    <mergeCell ref="B27:D27"/>
    <mergeCell ref="A39:D39"/>
    <mergeCell ref="A40:D40"/>
    <mergeCell ref="B64:D64"/>
    <mergeCell ref="B66:D66"/>
    <mergeCell ref="A74:D74"/>
    <mergeCell ref="A83:D83"/>
    <mergeCell ref="A84:D84"/>
    <mergeCell ref="A89:D89"/>
    <mergeCell ref="A90:D90"/>
    <mergeCell ref="A97:E97"/>
    <mergeCell ref="C102:E102"/>
    <mergeCell ref="A91:E91"/>
    <mergeCell ref="A96:D96"/>
    <mergeCell ref="A92:A94"/>
    <mergeCell ref="A95:D9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61"/>
  </sheetPr>
  <dimension ref="A2:J121"/>
  <sheetViews>
    <sheetView workbookViewId="0" topLeftCell="A109">
      <selection activeCell="B125" sqref="B125"/>
    </sheetView>
  </sheetViews>
  <sheetFormatPr defaultColWidth="9.00390625" defaultRowHeight="12.75"/>
  <cols>
    <col min="1" max="1" width="5.125" style="0" customWidth="1"/>
    <col min="2" max="2" width="70.25390625" style="0" customWidth="1"/>
    <col min="3" max="3" width="24.25390625" style="0" customWidth="1"/>
    <col min="4" max="4" width="10.25390625" style="24" bestFit="1" customWidth="1"/>
    <col min="5" max="8" width="9.125" style="24" customWidth="1"/>
    <col min="9" max="9" width="11.75390625" style="24" customWidth="1"/>
  </cols>
  <sheetData>
    <row r="2" spans="1:9" ht="12.75">
      <c r="A2" s="24"/>
      <c r="B2" s="107" t="s">
        <v>207</v>
      </c>
      <c r="C2" s="24"/>
      <c r="E2" s="173" t="s">
        <v>159</v>
      </c>
      <c r="F2" s="173"/>
      <c r="G2" s="173"/>
      <c r="H2" s="173"/>
      <c r="I2" s="173"/>
    </row>
    <row r="3" spans="1:9" ht="12.75">
      <c r="A3" s="24"/>
      <c r="B3" s="24" t="s">
        <v>204</v>
      </c>
      <c r="C3" s="24"/>
      <c r="E3" s="173" t="s">
        <v>192</v>
      </c>
      <c r="F3" s="173"/>
      <c r="G3" s="173"/>
      <c r="H3" s="173"/>
      <c r="I3" s="173"/>
    </row>
    <row r="4" spans="1:9" ht="12.75">
      <c r="A4" s="24"/>
      <c r="B4" s="24" t="s">
        <v>211</v>
      </c>
      <c r="C4" s="24"/>
      <c r="E4" s="173" t="s">
        <v>160</v>
      </c>
      <c r="F4" s="173"/>
      <c r="G4" s="173"/>
      <c r="H4" s="173"/>
      <c r="I4" s="173"/>
    </row>
    <row r="5" spans="1:9" ht="12.75">
      <c r="A5" s="24"/>
      <c r="B5" s="24"/>
      <c r="C5" s="24"/>
      <c r="E5" s="174" t="s">
        <v>193</v>
      </c>
      <c r="F5" s="173"/>
      <c r="G5" s="173"/>
      <c r="H5" s="173"/>
      <c r="I5" s="173"/>
    </row>
    <row r="6" spans="1:9" ht="12.75">
      <c r="A6" s="24"/>
      <c r="B6" s="24"/>
      <c r="C6" s="24"/>
      <c r="E6" s="173"/>
      <c r="F6" s="173"/>
      <c r="G6" s="173"/>
      <c r="H6" s="173"/>
      <c r="I6" s="173"/>
    </row>
    <row r="7" spans="1:9" ht="12.75">
      <c r="A7" s="24"/>
      <c r="B7" s="24"/>
      <c r="C7" s="24"/>
      <c r="E7" s="111"/>
      <c r="F7" s="111"/>
      <c r="G7" s="111"/>
      <c r="H7" s="111"/>
      <c r="I7" s="111"/>
    </row>
    <row r="8" spans="1:9" ht="12.75">
      <c r="A8" s="24"/>
      <c r="B8" s="24"/>
      <c r="C8" s="24"/>
      <c r="E8" s="111"/>
      <c r="F8" s="111"/>
      <c r="G8" s="111"/>
      <c r="H8" s="111"/>
      <c r="I8" s="111"/>
    </row>
    <row r="9" spans="1:9" ht="12.75">
      <c r="A9" s="24"/>
      <c r="B9" s="24"/>
      <c r="C9" s="24"/>
      <c r="E9" s="111"/>
      <c r="F9" s="111"/>
      <c r="G9" s="111"/>
      <c r="H9" s="111"/>
      <c r="I9" s="111"/>
    </row>
    <row r="10" spans="1:9" ht="10.5" customHeight="1">
      <c r="A10" s="24"/>
      <c r="B10" s="24"/>
      <c r="C10" s="24"/>
      <c r="E10" s="111"/>
      <c r="F10" s="111"/>
      <c r="G10" s="111"/>
      <c r="H10" s="111"/>
      <c r="I10" s="111"/>
    </row>
    <row r="11" spans="1:3" ht="12.75">
      <c r="A11" s="24"/>
      <c r="B11" s="24"/>
      <c r="C11" s="24"/>
    </row>
    <row r="12" spans="1:9" ht="12.75">
      <c r="A12" s="158" t="s">
        <v>125</v>
      </c>
      <c r="B12" s="158"/>
      <c r="C12" s="158"/>
      <c r="D12" s="158"/>
      <c r="E12" s="158"/>
      <c r="F12" s="158"/>
      <c r="G12" s="158"/>
      <c r="H12" s="158"/>
      <c r="I12" s="158"/>
    </row>
    <row r="13" spans="1:9" ht="12.75">
      <c r="A13" s="160" t="s">
        <v>179</v>
      </c>
      <c r="B13" s="160"/>
      <c r="C13" s="160"/>
      <c r="D13" s="160"/>
      <c r="E13" s="160"/>
      <c r="F13" s="160"/>
      <c r="G13" s="160"/>
      <c r="H13" s="160"/>
      <c r="I13" s="160"/>
    </row>
    <row r="14" spans="1:9" ht="12.75">
      <c r="A14" s="110"/>
      <c r="B14" s="110"/>
      <c r="C14" s="110"/>
      <c r="D14" s="110"/>
      <c r="E14" s="110"/>
      <c r="F14" s="110"/>
      <c r="G14" s="110"/>
      <c r="H14" s="110"/>
      <c r="I14" s="110"/>
    </row>
    <row r="15" spans="1:9" ht="12.75">
      <c r="A15" s="110"/>
      <c r="B15" s="110"/>
      <c r="C15" s="110"/>
      <c r="D15" s="110"/>
      <c r="E15" s="110"/>
      <c r="F15" s="110"/>
      <c r="G15" s="110"/>
      <c r="H15" s="110"/>
      <c r="I15" s="110"/>
    </row>
    <row r="16" spans="1:9" ht="12.75">
      <c r="A16" s="110"/>
      <c r="B16" s="110"/>
      <c r="C16" s="110"/>
      <c r="D16" s="110"/>
      <c r="E16" s="110"/>
      <c r="F16" s="110"/>
      <c r="G16" s="110"/>
      <c r="H16" s="110"/>
      <c r="I16" s="110"/>
    </row>
    <row r="17" spans="1:9" ht="12.75">
      <c r="A17" s="110"/>
      <c r="B17" s="110"/>
      <c r="C17" s="110"/>
      <c r="D17" s="110"/>
      <c r="E17" s="110"/>
      <c r="F17" s="110"/>
      <c r="G17" s="110"/>
      <c r="H17" s="110"/>
      <c r="I17" s="110"/>
    </row>
    <row r="18" spans="1:9" ht="12.75">
      <c r="A18" s="110"/>
      <c r="B18" s="110"/>
      <c r="C18" s="110"/>
      <c r="D18" s="110"/>
      <c r="E18" s="110"/>
      <c r="F18" s="110"/>
      <c r="G18" s="110"/>
      <c r="H18" s="110"/>
      <c r="I18" s="110"/>
    </row>
    <row r="19" spans="1:9" ht="12.75">
      <c r="A19" s="110"/>
      <c r="B19" s="110"/>
      <c r="C19" s="110"/>
      <c r="D19" s="110"/>
      <c r="E19" s="110"/>
      <c r="F19" s="110"/>
      <c r="G19" s="110"/>
      <c r="H19" s="110"/>
      <c r="I19" s="110"/>
    </row>
    <row r="20" spans="1:9" ht="12.75">
      <c r="A20" s="131" t="s">
        <v>0</v>
      </c>
      <c r="B20" s="131" t="s">
        <v>1</v>
      </c>
      <c r="C20" s="131" t="s">
        <v>2</v>
      </c>
      <c r="D20" s="171" t="s">
        <v>3</v>
      </c>
      <c r="E20" s="172"/>
      <c r="F20" s="153" t="s">
        <v>139</v>
      </c>
      <c r="G20" s="153" t="s">
        <v>140</v>
      </c>
      <c r="H20" s="155" t="s">
        <v>141</v>
      </c>
      <c r="I20" s="155" t="s">
        <v>142</v>
      </c>
    </row>
    <row r="21" spans="1:9" ht="38.25">
      <c r="A21" s="131"/>
      <c r="B21" s="131"/>
      <c r="C21" s="131"/>
      <c r="D21" s="50" t="s">
        <v>4</v>
      </c>
      <c r="E21" s="30" t="s">
        <v>5</v>
      </c>
      <c r="F21" s="154"/>
      <c r="G21" s="154"/>
      <c r="H21" s="156"/>
      <c r="I21" s="156"/>
    </row>
    <row r="22" spans="1:9" ht="12.75">
      <c r="A22" s="51" t="s">
        <v>6</v>
      </c>
      <c r="B22" s="51"/>
      <c r="C22" s="39"/>
      <c r="D22" s="52"/>
      <c r="E22" s="31"/>
      <c r="F22" s="36"/>
      <c r="G22" s="36"/>
      <c r="H22" s="37"/>
      <c r="I22" s="37"/>
    </row>
    <row r="23" spans="1:9" ht="12.75">
      <c r="A23" s="5" t="s">
        <v>7</v>
      </c>
      <c r="B23" s="129" t="s">
        <v>8</v>
      </c>
      <c r="C23" s="129"/>
      <c r="D23" s="129"/>
      <c r="E23" s="130"/>
      <c r="F23" s="36"/>
      <c r="G23" s="36"/>
      <c r="H23" s="37"/>
      <c r="I23" s="37"/>
    </row>
    <row r="24" spans="1:9" ht="12.75">
      <c r="A24" s="6" t="s">
        <v>9</v>
      </c>
      <c r="B24" s="6" t="s">
        <v>10</v>
      </c>
      <c r="C24" s="7" t="s">
        <v>11</v>
      </c>
      <c r="D24" s="18">
        <f>'Ирк.тр.85'!D17+'Ирк.89'!D20+'бир.6'!D19+'бир.11'!D22+'кл.3'!D17+'Кл.5'!D16+'Кл.18'!D17+'Кл.20'!D14+'Кл.26'!D16+'обр.14'!D16+'обр.18'!D17+'бир.3'!D14+'бир.5'!D15+'бир.7'!D15+'бир.7а'!D15+'обр.26'!D16</f>
        <v>32.5</v>
      </c>
      <c r="E24" s="32">
        <v>25.31</v>
      </c>
      <c r="F24" s="36"/>
      <c r="G24" s="36">
        <f>E24/2</f>
        <v>12.655</v>
      </c>
      <c r="H24" s="36">
        <f>E24-G24</f>
        <v>12.655</v>
      </c>
      <c r="I24" s="37"/>
    </row>
    <row r="25" spans="1:9" ht="12.75">
      <c r="A25" s="6" t="s">
        <v>12</v>
      </c>
      <c r="B25" s="8" t="s">
        <v>13</v>
      </c>
      <c r="C25" s="7" t="s">
        <v>14</v>
      </c>
      <c r="D25" s="18">
        <f>'бир.3'!D15+'бир.5'!D16+'бир.7'!D16</f>
        <v>1.9540000000000002</v>
      </c>
      <c r="E25" s="32">
        <f>'бир.3'!E15+'бир.5'!E16+'бир.7'!E16+'бир.7а'!E16</f>
        <v>0.6026</v>
      </c>
      <c r="F25" s="36"/>
      <c r="G25" s="36">
        <f aca="true" t="shared" si="0" ref="G25:G30">E25/2</f>
        <v>0.3013</v>
      </c>
      <c r="H25" s="36">
        <f aca="true" t="shared" si="1" ref="H25:H30">E25-G25</f>
        <v>0.3013</v>
      </c>
      <c r="I25" s="37"/>
    </row>
    <row r="26" spans="1:9" ht="12.75">
      <c r="A26" s="6" t="s">
        <v>15</v>
      </c>
      <c r="B26" s="8" t="s">
        <v>16</v>
      </c>
      <c r="C26" s="7" t="s">
        <v>14</v>
      </c>
      <c r="D26" s="18">
        <f>'Ирк.тр.85'!D19+'Ирк.89'!D22+'бир.6'!D21+'бир.11'!D24+'кл.3'!D19+'Кл.5'!D18+'Кл.18'!D19+'Кл.20'!D16+'Кл.26'!D18+'обр.14'!D18+'обр.26'!D18+'обр.18'!D19+'бир.3'!D17+'бир.5'!D17+'бир.5'!D17+'бир.7'!D17+'бир.7а'!D17</f>
        <v>133.91199999999998</v>
      </c>
      <c r="E26" s="32">
        <v>55.85</v>
      </c>
      <c r="F26" s="36"/>
      <c r="G26" s="36">
        <f t="shared" si="0"/>
        <v>27.925</v>
      </c>
      <c r="H26" s="36">
        <f t="shared" si="1"/>
        <v>27.925</v>
      </c>
      <c r="I26" s="37"/>
    </row>
    <row r="27" spans="1:9" ht="12.75">
      <c r="A27" s="6" t="s">
        <v>17</v>
      </c>
      <c r="B27" s="8" t="s">
        <v>18</v>
      </c>
      <c r="C27" s="7" t="s">
        <v>14</v>
      </c>
      <c r="D27" s="18">
        <f>'Ирк.тр.85'!D20+'Ирк.89'!D23+'бир.6'!D22+'бир.11'!D25+'кл.3'!D20+'Кл.5'!D19+'Кл.18'!D20+'Кл.20'!D17+'Кл.26'!D19+'обр.14'!D19+'обр.26'!D19+'обр.18'!D20+'бир.3'!D17+'бир.5'!D18+'бир.7'!D18+'бир.7а'!D18</f>
        <v>133.23</v>
      </c>
      <c r="E27" s="32">
        <v>55.85</v>
      </c>
      <c r="F27" s="36"/>
      <c r="G27" s="36">
        <f t="shared" si="0"/>
        <v>27.925</v>
      </c>
      <c r="H27" s="36">
        <f t="shared" si="1"/>
        <v>27.925</v>
      </c>
      <c r="I27" s="37"/>
    </row>
    <row r="28" spans="1:9" ht="12.75">
      <c r="A28" s="6" t="s">
        <v>19</v>
      </c>
      <c r="B28" s="8" t="s">
        <v>20</v>
      </c>
      <c r="C28" s="7" t="s">
        <v>14</v>
      </c>
      <c r="D28" s="18">
        <f>'Ирк.тр.85'!D21+'Ирк.89'!D24+'бир.6'!D23+'бир.11'!D26+'кл.3'!D21+'Кл.5'!D20+'Кл.18'!D21+'Кл.20'!D18+'Кл.26'!D20+'обр.14'!D20+'обр.18'!D21+'обр.26'!D20+'бир.3'!D18+'бир.5'!D19+'бир.7'!D19+'бир.7а'!D19</f>
        <v>133.23</v>
      </c>
      <c r="E28" s="32">
        <v>42.73</v>
      </c>
      <c r="F28" s="36"/>
      <c r="G28" s="36">
        <f t="shared" si="0"/>
        <v>21.365</v>
      </c>
      <c r="H28" s="36">
        <f t="shared" si="1"/>
        <v>21.365</v>
      </c>
      <c r="I28" s="37"/>
    </row>
    <row r="29" spans="1:9" ht="12.75">
      <c r="A29" s="6" t="s">
        <v>21</v>
      </c>
      <c r="B29" s="8" t="s">
        <v>22</v>
      </c>
      <c r="C29" s="7" t="s">
        <v>14</v>
      </c>
      <c r="D29" s="18">
        <f>'Ирк.тр.85'!D22+'Ирк.89'!D25+'бир.6'!D24+'бир.11'!D27+'кл.3'!D22+'Кл.5'!D21+'Кл.18'!D22+'Кл.20'!D19+'Кл.26'!D21+'обр.14'!D21+'обр.18'!D22+'обр.26'!D21+'бир.3'!D19+'бир.5'!D20+'бир.7'!D20+'бир.7а'!D20</f>
        <v>132.558</v>
      </c>
      <c r="E29" s="32">
        <v>55.85</v>
      </c>
      <c r="F29" s="36"/>
      <c r="G29" s="36">
        <f t="shared" si="0"/>
        <v>27.925</v>
      </c>
      <c r="H29" s="36">
        <f t="shared" si="1"/>
        <v>27.925</v>
      </c>
      <c r="I29" s="37"/>
    </row>
    <row r="30" spans="1:9" ht="12.75">
      <c r="A30" s="6" t="s">
        <v>23</v>
      </c>
      <c r="B30" s="6" t="s">
        <v>24</v>
      </c>
      <c r="C30" s="7" t="s">
        <v>25</v>
      </c>
      <c r="D30" s="18">
        <f>'бир.3'!D20+'бир.5'!D21+'бир.7'!D21+'бир.7а'!D21</f>
        <v>44</v>
      </c>
      <c r="E30" s="32">
        <v>12</v>
      </c>
      <c r="F30" s="36"/>
      <c r="G30" s="36">
        <f t="shared" si="0"/>
        <v>6</v>
      </c>
      <c r="H30" s="36">
        <f t="shared" si="1"/>
        <v>6</v>
      </c>
      <c r="I30" s="37"/>
    </row>
    <row r="31" spans="1:9" ht="14.25" customHeight="1">
      <c r="A31" s="6" t="s">
        <v>26</v>
      </c>
      <c r="B31" s="8" t="s">
        <v>27</v>
      </c>
      <c r="C31" s="7" t="s">
        <v>25</v>
      </c>
      <c r="D31" s="18">
        <f>'бир.3'!D21+'бир.5'!D22+'бир.7'!D22+'бир.7а'!D22</f>
        <v>0</v>
      </c>
      <c r="E31" s="32">
        <f>'бир.3'!E21+'бир.5'!E22+'бир.7'!E22+'бир.7а'!E22</f>
        <v>0</v>
      </c>
      <c r="F31" s="36"/>
      <c r="G31" s="36"/>
      <c r="H31" s="37"/>
      <c r="I31" s="37"/>
    </row>
    <row r="32" spans="1:9" ht="15" customHeight="1">
      <c r="A32" s="6" t="s">
        <v>28</v>
      </c>
      <c r="B32" s="8" t="s">
        <v>29</v>
      </c>
      <c r="C32" s="7" t="s">
        <v>30</v>
      </c>
      <c r="D32" s="18"/>
      <c r="E32" s="32"/>
      <c r="F32" s="36"/>
      <c r="G32" s="36"/>
      <c r="H32" s="37"/>
      <c r="I32" s="37"/>
    </row>
    <row r="33" spans="1:9" ht="12.75">
      <c r="A33" s="6" t="s">
        <v>31</v>
      </c>
      <c r="B33" s="127" t="s">
        <v>32</v>
      </c>
      <c r="C33" s="128"/>
      <c r="D33" s="128"/>
      <c r="E33" s="26"/>
      <c r="F33" s="36"/>
      <c r="G33" s="36"/>
      <c r="H33" s="37"/>
      <c r="I33" s="37"/>
    </row>
    <row r="34" spans="1:9" ht="12.75">
      <c r="A34" s="6" t="s">
        <v>33</v>
      </c>
      <c r="B34" s="8" t="s">
        <v>34</v>
      </c>
      <c r="C34" s="9" t="s">
        <v>35</v>
      </c>
      <c r="D34" s="18"/>
      <c r="E34" s="32"/>
      <c r="F34" s="36"/>
      <c r="G34" s="36"/>
      <c r="H34" s="37"/>
      <c r="I34" s="37"/>
    </row>
    <row r="35" spans="1:9" ht="12.75">
      <c r="A35" s="6" t="s">
        <v>36</v>
      </c>
      <c r="B35" s="6" t="s">
        <v>37</v>
      </c>
      <c r="C35" s="9" t="s">
        <v>38</v>
      </c>
      <c r="D35" s="18">
        <f>'Ирк.тр.85'!D28+'Ирк.89'!D31+'бир.6'!D30+'бир.11'!D33+'кл.3'!D28+'Кл.5'!D27+'Кл.5'!D27+'Кл.18'!D28+'Кл.20'!D25+'Кл.26'!D27+'обр.14'!D27+'обр.18'!D28+'обр.26'!D27+'бир.3'!D25+'бир.5'!D26+'бир.7'!D26+'бир.7а'!D26</f>
        <v>0</v>
      </c>
      <c r="E35" s="32">
        <f>'Ирк.тр.85'!E28+'Ирк.89'!E31+'бир.6'!E30+'бир.11'!E33+'кл.3'!E28+'Кл.5'!E27+'Кл.18'!E28+'Кл.20'!E25+'Кл.26'!E27+'обр.14'!E27+'обр.18'!E28+'обр.26'!E27+'бир.3'!E25+'бир.5'!E26+'бир.7'!E26+'бир.7а'!E26</f>
        <v>0</v>
      </c>
      <c r="F35" s="36"/>
      <c r="G35" s="36"/>
      <c r="H35" s="37"/>
      <c r="I35" s="37"/>
    </row>
    <row r="36" spans="1:9" ht="12.75">
      <c r="A36" s="6" t="s">
        <v>39</v>
      </c>
      <c r="B36" s="127" t="s">
        <v>32</v>
      </c>
      <c r="C36" s="128"/>
      <c r="D36" s="128"/>
      <c r="E36" s="26"/>
      <c r="F36" s="36"/>
      <c r="G36" s="36"/>
      <c r="H36" s="37"/>
      <c r="I36" s="37"/>
    </row>
    <row r="37" spans="1:9" ht="12.75">
      <c r="A37" s="6" t="s">
        <v>40</v>
      </c>
      <c r="B37" s="27" t="s">
        <v>138</v>
      </c>
      <c r="C37" s="9" t="s">
        <v>38</v>
      </c>
      <c r="D37" s="18">
        <f>'Ирк.тр.85'!D30+'Ирк.89'!D33+'бир.6'!D32+'бир.11'!D35+'кл.3'!D30+'Кл.5'!D29+'Кл.18'!D30+'Кл.20'!D27+'Кл.26'!D29+'обр.14'!D29+'обр.18'!D30+'обр.26'!D29+'бир.3'!D27+'бир.5'!D28+'бир.7'!D28+'бир.7а'!D28</f>
        <v>49</v>
      </c>
      <c r="E37" s="32">
        <v>4.94</v>
      </c>
      <c r="F37" s="36">
        <v>1.65</v>
      </c>
      <c r="G37" s="36"/>
      <c r="H37" s="37">
        <v>1.65</v>
      </c>
      <c r="I37" s="36">
        <v>1.65</v>
      </c>
    </row>
    <row r="38" spans="1:9" ht="12.75">
      <c r="A38" s="6" t="s">
        <v>41</v>
      </c>
      <c r="B38" s="6" t="s">
        <v>42</v>
      </c>
      <c r="C38" s="9"/>
      <c r="D38" s="18"/>
      <c r="E38" s="32"/>
      <c r="F38" s="36"/>
      <c r="G38" s="36"/>
      <c r="H38" s="37"/>
      <c r="I38" s="37"/>
    </row>
    <row r="39" spans="1:9" ht="12.75">
      <c r="A39" s="6"/>
      <c r="B39" s="6" t="s">
        <v>43</v>
      </c>
      <c r="C39" s="9" t="s">
        <v>44</v>
      </c>
      <c r="D39" s="18">
        <f>'Ирк.тр.85'!D32+'Ирк.89'!D35+'бир.6'!D34+'бир.11'!D37+'кл.3'!D32+'Кл.5'!D31+'Кл.18'!D32+'Кл.20'!D29+'Кл.26'!D31+'обр.14'!D31+'обр.18'!D32+'обр.26'!D31+'бир.3'!D29+'бир.5'!D30+'бир.7'!D30+'бир.7а'!D30</f>
        <v>72</v>
      </c>
      <c r="E39" s="32">
        <f>'Ирк.тр.85'!E32+'Ирк.89'!E35+'бир.6'!E34+'бир.11'!E37+'кл.3'!E32+'Кл.5'!E31+'Кл.18'!E32+'Кл.20'!E29+'Кл.26'!E31+'обр.14'!E31+'обр.18'!E32+'обр.26'!E31+'бир.3'!E29+'бир.5'!E30+'бир.7'!E30+'бир.7а'!E30</f>
        <v>3.6</v>
      </c>
      <c r="F39" s="36">
        <f>'Ирк.тр.85'!F32+'Ирк.89'!F35+'кл.3'!F32+'Кл.5'!F31+'Кл.18'!F32+'Кл.20'!F29+'Кл.26'!F31+'обр.14'!F31+'обр.18'!F32+'обр.26'!F31+'бир.6'!F34+'бир.11'!F37+'бир.3'!F29+'бир.5'!F30+'бир.7'!F30+'бир.7а'!F30</f>
        <v>1.4</v>
      </c>
      <c r="G39" s="36"/>
      <c r="H39" s="37">
        <v>2.2</v>
      </c>
      <c r="I39" s="36"/>
    </row>
    <row r="40" spans="1:9" ht="12.75">
      <c r="A40" s="6"/>
      <c r="B40" s="6" t="s">
        <v>45</v>
      </c>
      <c r="C40" s="9" t="s">
        <v>46</v>
      </c>
      <c r="D40" s="18"/>
      <c r="E40" s="32"/>
      <c r="F40" s="36"/>
      <c r="G40" s="36"/>
      <c r="H40" s="37"/>
      <c r="I40" s="37"/>
    </row>
    <row r="41" spans="1:9" ht="12.75">
      <c r="A41" s="6" t="s">
        <v>47</v>
      </c>
      <c r="B41" s="6" t="s">
        <v>48</v>
      </c>
      <c r="C41" s="9"/>
      <c r="D41" s="18"/>
      <c r="E41" s="32"/>
      <c r="F41" s="36"/>
      <c r="G41" s="36"/>
      <c r="H41" s="37"/>
      <c r="I41" s="37"/>
    </row>
    <row r="42" spans="1:9" ht="12.75">
      <c r="A42" s="6"/>
      <c r="B42" s="6" t="s">
        <v>49</v>
      </c>
      <c r="C42" s="9" t="s">
        <v>50</v>
      </c>
      <c r="D42" s="18"/>
      <c r="E42" s="32"/>
      <c r="F42" s="36"/>
      <c r="G42" s="36"/>
      <c r="H42" s="37"/>
      <c r="I42" s="37"/>
    </row>
    <row r="43" spans="1:9" ht="12.75">
      <c r="A43" s="6"/>
      <c r="B43" s="6" t="s">
        <v>51</v>
      </c>
      <c r="C43" s="9" t="s">
        <v>50</v>
      </c>
      <c r="D43" s="18">
        <f>'Ирк.тр.85'!D36+'Ирк.89'!D39+'бир.6'!D38+'бир.11'!D41+'кл.3'!D36+'Кл.5'!D35+'Кл.18'!D36+'Кл.20'!D33+'Кл.26'!D35+'обр.14'!D35+'обр.18'!D36+'обр.26'!D35+'бир.3'!D33+'бир.5'!D34+'бир.7'!D34+'бир.7а'!D34</f>
        <v>100</v>
      </c>
      <c r="E43" s="32">
        <f>'Ирк.тр.85'!E36+'Ирк.89'!E39+'бир.6'!E38+'бир.11'!E41+'кл.3'!E36+'Кл.5'!E35+'Кл.18'!E36+'Кл.20'!E33+'Кл.26'!E35+'обр.14'!E35+'обр.18'!E36+'обр.26'!E35+'бир.3'!E33+'бир.5'!E34+'бир.7'!E34+'бир.7а'!E34</f>
        <v>30</v>
      </c>
      <c r="F43" s="36"/>
      <c r="G43" s="36">
        <v>15</v>
      </c>
      <c r="H43" s="37">
        <v>15</v>
      </c>
      <c r="I43" s="37"/>
    </row>
    <row r="44" spans="1:9" ht="12.75">
      <c r="A44" s="6" t="s">
        <v>52</v>
      </c>
      <c r="B44" s="6" t="s">
        <v>53</v>
      </c>
      <c r="C44" s="9" t="s">
        <v>54</v>
      </c>
      <c r="D44" s="18">
        <f>'Ирк.тр.85'!D37+'Ирк.89'!D40+'бир.6'!D39+'бир.11'!D42+'кл.3'!D37+'Кл.5'!D36+'Кл.18'!D37+'Кл.20'!D34+'Кл.26'!D36+'обр.14'!D36+'обр.18'!D37+'обр.26'!D36+'бир.3'!D34+'бир.5'!D35+'бир.7'!D35+'бир.7а'!D35</f>
        <v>15900</v>
      </c>
      <c r="E44" s="32">
        <f>'Ирк.тр.85'!E37+'Ирк.89'!E40+'бир.6'!E39+'бир.11'!E42+'кл.3'!E37+'Кл.5'!E36+'Кл.18'!E37+'Кл.20'!E34+'Кл.26'!E36+'обр.14'!E36+'обр.18'!E37+'обр.26'!E36+'бир.3'!E34+'бир.5'!E35+'бир.7'!E35+'бир.7а'!E35</f>
        <v>213.33000000000007</v>
      </c>
      <c r="F44" s="36">
        <v>213.33</v>
      </c>
      <c r="G44" s="36"/>
      <c r="H44" s="37"/>
      <c r="I44" s="37"/>
    </row>
    <row r="45" spans="1:9" ht="12.75">
      <c r="A45" s="6" t="s">
        <v>99</v>
      </c>
      <c r="B45" s="6" t="s">
        <v>129</v>
      </c>
      <c r="C45" s="9" t="s">
        <v>130</v>
      </c>
      <c r="D45" s="18">
        <f>'Ирк.89'!D41+'бир.6'!D40+'бир.11'!D43+'Кл.18'!D38+'Кл.20'!D35+'обр.18'!D38</f>
        <v>65</v>
      </c>
      <c r="E45" s="32">
        <v>105</v>
      </c>
      <c r="F45" s="36">
        <v>105</v>
      </c>
      <c r="G45" s="36"/>
      <c r="H45" s="37"/>
      <c r="I45" s="37"/>
    </row>
    <row r="46" spans="1:9" ht="12.75">
      <c r="A46" s="6" t="s">
        <v>102</v>
      </c>
      <c r="B46" s="6" t="s">
        <v>131</v>
      </c>
      <c r="C46" s="9" t="s">
        <v>132</v>
      </c>
      <c r="D46" s="18">
        <f>'Ирк.89'!D42+'бир.6'!D41+'бир.11'!D44+'кл.3'!D39+'Кл.5'!D38+'Кл.18'!D39+'Кл.20'!D36+'Кл.26'!D38+'обр.14'!D38+'обр.18'!D39+'обр.26'!D38</f>
        <v>50</v>
      </c>
      <c r="E46" s="32">
        <f>+'Ирк.89'!E42+'бир.6'!E41+'бир.11'!E44+'кл.3'!E39+'Кл.5'!E38+'Кл.18'!E39+'Кл.20'!E36+'Кл.26'!E38+'обр.14'!E38+'обр.18'!E39+'обр.26'!E38</f>
        <v>150</v>
      </c>
      <c r="F46" s="36"/>
      <c r="G46" s="36"/>
      <c r="H46" s="37">
        <v>62.81</v>
      </c>
      <c r="I46" s="36">
        <f>E46-H46</f>
        <v>87.19</v>
      </c>
    </row>
    <row r="47" spans="1:9" ht="12.75">
      <c r="A47" s="38" t="s">
        <v>103</v>
      </c>
      <c r="B47" s="21" t="s">
        <v>133</v>
      </c>
      <c r="C47" s="22" t="s">
        <v>61</v>
      </c>
      <c r="D47" s="18">
        <v>1370</v>
      </c>
      <c r="E47" s="32">
        <f>243.57</f>
        <v>243.57</v>
      </c>
      <c r="F47" s="36">
        <f>E47/4</f>
        <v>60.8925</v>
      </c>
      <c r="G47" s="36">
        <v>60.89</v>
      </c>
      <c r="H47" s="37">
        <v>60.89</v>
      </c>
      <c r="I47" s="36">
        <v>60.89</v>
      </c>
    </row>
    <row r="48" spans="1:9" ht="12.75">
      <c r="A48" s="120" t="s">
        <v>145</v>
      </c>
      <c r="B48" s="143"/>
      <c r="C48" s="143"/>
      <c r="D48" s="144"/>
      <c r="E48" s="36">
        <f>SUM(E24:E47)</f>
        <v>998.6326000000001</v>
      </c>
      <c r="F48" s="36">
        <f>SUM(F24:F47)</f>
        <v>382.2725</v>
      </c>
      <c r="G48" s="36">
        <f>SUM(G24:G47)</f>
        <v>199.98629999999997</v>
      </c>
      <c r="H48" s="36">
        <f>SUM(H24:H47)</f>
        <v>266.6463</v>
      </c>
      <c r="I48" s="36">
        <f>SUM(I24:I47)</f>
        <v>149.73000000000002</v>
      </c>
    </row>
    <row r="49" spans="1:9" s="24" customFormat="1" ht="12.75">
      <c r="A49" s="147" t="s">
        <v>55</v>
      </c>
      <c r="B49" s="148"/>
      <c r="C49" s="148"/>
      <c r="D49" s="149"/>
      <c r="E49" s="39"/>
      <c r="F49" s="36"/>
      <c r="G49" s="36"/>
      <c r="H49" s="37"/>
      <c r="I49" s="37"/>
    </row>
    <row r="50" spans="1:9" ht="12.75">
      <c r="A50" s="5" t="s">
        <v>7</v>
      </c>
      <c r="B50" s="10" t="s">
        <v>8</v>
      </c>
      <c r="C50" s="6"/>
      <c r="D50" s="18"/>
      <c r="E50" s="32"/>
      <c r="F50" s="36"/>
      <c r="G50" s="36"/>
      <c r="H50" s="37"/>
      <c r="I50" s="37"/>
    </row>
    <row r="51" spans="1:9" ht="12.75">
      <c r="A51" s="6" t="s">
        <v>9</v>
      </c>
      <c r="B51" s="6" t="s">
        <v>56</v>
      </c>
      <c r="C51" s="6"/>
      <c r="D51" s="18"/>
      <c r="E51" s="32"/>
      <c r="F51" s="36"/>
      <c r="G51" s="36"/>
      <c r="H51" s="37"/>
      <c r="I51" s="37"/>
    </row>
    <row r="52" spans="1:9" ht="12.75">
      <c r="A52" s="6"/>
      <c r="B52" s="6" t="s">
        <v>57</v>
      </c>
      <c r="C52" s="7" t="s">
        <v>14</v>
      </c>
      <c r="D52" s="18">
        <f>'Ирк.тр.85'!D44+'Ирк.89'!D48+'бир.6'!D47+'бир.11'!D50+'кл.3'!D45+'Кл.5'!D44+'Кл.18'!D45+'Кл.20'!D42+'Кл.26'!D44+'обр.14'!D44+'обр.18'!D45+'обр.26'!D44</f>
        <v>43.699999999999996</v>
      </c>
      <c r="E52" s="32">
        <f>'Ирк.тр.85'!E44+'Ирк.89'!E48+'бир.6'!E47+'бир.11'!E50+'кл.3'!E45+'Кл.5'!E44+'Кл.18'!E45+'Кл.20'!E42+'Кл.26'!E44+'обр.14'!E44+'обр.18'!E45+'обр.26'!E44+'бир.5'!E43+'бир.7а'!E43+'бир.7'!E43</f>
        <v>48.44510000000001</v>
      </c>
      <c r="F52" s="36">
        <f>E52/4</f>
        <v>12.111275000000003</v>
      </c>
      <c r="G52" s="36">
        <v>12.11</v>
      </c>
      <c r="H52" s="37">
        <v>12.11</v>
      </c>
      <c r="I52" s="36">
        <f>E52-F52-G52-H52</f>
        <v>12.113825000000006</v>
      </c>
    </row>
    <row r="53" spans="1:9" ht="25.5">
      <c r="A53" s="6"/>
      <c r="B53" s="6" t="s">
        <v>58</v>
      </c>
      <c r="C53" s="7" t="s">
        <v>59</v>
      </c>
      <c r="D53" s="18">
        <f>'Ирк.тр.85'!D45+'Ирк.89'!D49+'бир.6'!D48+'бир.11'!E51+'кл.3'!D46+'Кл.5'!D45+'Кл.18'!D46+'Кл.20'!D43+'Кл.26'!D45+'обр.14'!E45+'обр.18'!D46+'обр.26'!D45</f>
        <v>9.839999999999998</v>
      </c>
      <c r="E53" s="32">
        <f>'Ирк.тр.85'!E45+'Ирк.89'!E49+'бир.6'!E48+'бир.11'!E51+'кл.3'!E46+'Кл.5'!E45+'Кл.18'!E46+'Кл.20'!E43+'Кл.26'!E45+'обр.14'!E45+'обр.18'!E46+'обр.26'!E45</f>
        <v>4.5600000000000005</v>
      </c>
      <c r="F53" s="36">
        <f aca="true" t="shared" si="2" ref="F53:F82">E53/4</f>
        <v>1.1400000000000001</v>
      </c>
      <c r="G53" s="36">
        <v>1.14</v>
      </c>
      <c r="H53" s="37">
        <v>1.14</v>
      </c>
      <c r="I53" s="36">
        <f aca="true" t="shared" si="3" ref="I53:I81">E53-F53-G53-H53</f>
        <v>1.1400000000000003</v>
      </c>
    </row>
    <row r="54" spans="1:9" ht="12.75">
      <c r="A54" s="6" t="s">
        <v>12</v>
      </c>
      <c r="B54" s="8" t="s">
        <v>60</v>
      </c>
      <c r="C54" s="7" t="s">
        <v>61</v>
      </c>
      <c r="D54" s="18">
        <f>'Ирк.тр.85'!D46+'Ирк.89'!D50+'бир.6'!D49+'бир.11'!D52+'кл.3'!D47+'Кл.5'!D46+'Кл.18'!D47+'Кл.20'!D44+'Кл.26'!D46+'обр.14'!D46+'обр.18'!D47+'обр.26'!D46+'бир.3'!D44+'бир.5'!D45+'бир.7'!D45+'бир.7а'!D45</f>
        <v>1194.2</v>
      </c>
      <c r="E54" s="32">
        <f>'Ирк.тр.85'!E46+'Ирк.89'!E50+'кл.3'!E47+'Кл.5'!E46+'Кл.18'!E47+'Кл.20'!E44+'Кл.26'!E46+'обр.14'!E46+'обр.18'!E47+'обр.26'!E46+'бир.3'!E44+'бир.5'!E45+'бир.6'!E49+'бир.7'!E45+'бир.7а'!E45+'бир.11'!E52</f>
        <v>119.50999999999999</v>
      </c>
      <c r="F54" s="36">
        <f>E54/4</f>
        <v>29.877499999999998</v>
      </c>
      <c r="G54" s="36">
        <v>29.88</v>
      </c>
      <c r="H54" s="37">
        <v>29.88</v>
      </c>
      <c r="I54" s="36">
        <f t="shared" si="3"/>
        <v>29.8725</v>
      </c>
    </row>
    <row r="55" spans="1:9" ht="12.75">
      <c r="A55" s="6" t="s">
        <v>15</v>
      </c>
      <c r="B55" s="8" t="s">
        <v>62</v>
      </c>
      <c r="C55" s="7"/>
      <c r="D55" s="18"/>
      <c r="E55" s="32"/>
      <c r="F55" s="36"/>
      <c r="G55" s="36"/>
      <c r="H55" s="37"/>
      <c r="I55" s="36"/>
    </row>
    <row r="56" spans="1:9" ht="12.75">
      <c r="A56" s="6"/>
      <c r="B56" s="6" t="s">
        <v>57</v>
      </c>
      <c r="C56" s="7" t="s">
        <v>14</v>
      </c>
      <c r="D56" s="18">
        <f>'Ирк.тр.85'!D48+'Ирк.89'!D52+'кл.3'!D49+'Кл.5'!D48+'Кл.18'!D49+'Кл.20'!D46+'Кл.26'!D48+'обр.14'!D48+'обр.18'!D49+'обр.26'!D48+'бир.3'!D46+'бир.5'!D47+'бир.6'!D51+'бир.7'!D47+'бир.7а'!D47+'бир.11'!D54</f>
        <v>42.49999999999999</v>
      </c>
      <c r="E56" s="32">
        <f>'Ирк.тр.85'!E48+'Ирк.89'!E52+'кл.3'!E49+'Кл.5'!E48+'Кл.18'!E49+'Кл.20'!E46+'Кл.26'!E48+'обр.14'!E48+'обр.18'!E49+'обр.26'!E48+'бир.3'!E46+'бир.5'!E47+'бир.6'!E51+'бир.7'!E47+'бир.7а'!E47+'бир.11'!E54</f>
        <v>38.25000000000001</v>
      </c>
      <c r="F56" s="36">
        <f t="shared" si="2"/>
        <v>9.562500000000002</v>
      </c>
      <c r="G56" s="36">
        <v>9.56</v>
      </c>
      <c r="H56" s="37">
        <v>9.56</v>
      </c>
      <c r="I56" s="36">
        <f t="shared" si="3"/>
        <v>9.567500000000004</v>
      </c>
    </row>
    <row r="57" spans="1:9" ht="12.75">
      <c r="A57" s="6"/>
      <c r="B57" s="6" t="s">
        <v>63</v>
      </c>
      <c r="C57" s="7" t="s">
        <v>136</v>
      </c>
      <c r="D57" s="18">
        <f>'Ирк.тр.85'!D49+'Ирк.89'!D53+'кл.3'!D50+'Кл.5'!D49+'Кл.18'!D50+'Кл.20'!D47+'Кл.26'!D49+'обр.14'!D49+'обр.18'!D50+'обр.26'!D49+'бир.3'!D47+'бир.5'!D48+'бир.6'!D52+'бир.7'!D48+'бир.7а'!D48+'бир.11'!D55</f>
        <v>280</v>
      </c>
      <c r="E57" s="32">
        <f>'Ирк.тр.85'!E49+'Ирк.89'!E53+'кл.3'!E50+'Кл.5'!E49+'Кл.18'!E50+'Кл.20'!E47+'Кл.26'!E49+'обр.14'!E49+'обр.18'!E50+'обр.26'!E49+'бир.3'!E47+'бир.5'!E48+'бир.6'!E52+'бир.7'!E48+'бир.7а'!E48+'бир.11'!E55</f>
        <v>2.8</v>
      </c>
      <c r="F57" s="36">
        <f t="shared" si="2"/>
        <v>0.7</v>
      </c>
      <c r="G57" s="36">
        <v>0.7</v>
      </c>
      <c r="H57" s="37">
        <v>0.7</v>
      </c>
      <c r="I57" s="36">
        <f t="shared" si="3"/>
        <v>0.6999999999999997</v>
      </c>
    </row>
    <row r="58" spans="1:9" ht="12.75">
      <c r="A58" s="20"/>
      <c r="B58" s="57" t="s">
        <v>158</v>
      </c>
      <c r="C58" s="22" t="s">
        <v>64</v>
      </c>
      <c r="D58" s="18"/>
      <c r="E58" s="32"/>
      <c r="F58" s="36"/>
      <c r="G58" s="36"/>
      <c r="H58" s="37"/>
      <c r="I58" s="36"/>
    </row>
    <row r="59" spans="1:9" ht="12.75">
      <c r="A59" s="20" t="s">
        <v>17</v>
      </c>
      <c r="B59" s="46" t="s">
        <v>65</v>
      </c>
      <c r="C59" s="22" t="s">
        <v>66</v>
      </c>
      <c r="D59" s="18">
        <f>'Ирк.тр.85'!D51+'Ирк.89'!D55+'кл.3'!D52+'Кл.5'!D51+'Кл.18'!D52+'Кл.20'!D49+'Кл.26'!D51+'обр.14'!D51+'обр.18'!D52+'обр.26'!D51+'бир.3'!D49+'бир.5'!D50+'бир.6'!D54+'бир.7'!D50+'бир.7а'!D50+'бир.11'!D57</f>
        <v>1043</v>
      </c>
      <c r="E59" s="32">
        <f>'Ирк.тр.85'!E51+'Ирк.89'!E55+'кл.3'!E52+'Кл.5'!E51+'Кл.18'!E52+'Кл.20'!E49+'Кл.26'!E51+'обр.14'!E51+'обр.18'!E52+'обр.26'!E51+'бир.6'!E54+'бир.11'!E57+'бир.3'!E49+'бир.5'!E50+'бир.7'!E50+'бир.7а'!E50</f>
        <v>26.075</v>
      </c>
      <c r="F59" s="36">
        <f t="shared" si="2"/>
        <v>6.51875</v>
      </c>
      <c r="G59" s="36">
        <v>6.52</v>
      </c>
      <c r="H59" s="37">
        <v>6.52</v>
      </c>
      <c r="I59" s="36">
        <f t="shared" si="3"/>
        <v>6.516249999999999</v>
      </c>
    </row>
    <row r="60" spans="1:9" ht="12.75">
      <c r="A60" s="20" t="s">
        <v>19</v>
      </c>
      <c r="B60" s="20" t="s">
        <v>67</v>
      </c>
      <c r="C60" s="22" t="s">
        <v>68</v>
      </c>
      <c r="D60" s="18">
        <f>'Ирк.тр.85'!D52+'Ирк.89'!D56+'кл.3'!D53+'Кл.5'!D52+'Кл.18'!D53+'Кл.20'!D50+'Кл.26'!D52+'обр.14'!D52+'обр.18'!D53+'обр.26'!D52+'бир.3'!D50+'бир.5'!D51+'бир.6'!D55+'бир.7'!D51+'бир.7а'!D51+'бир.11'!D58</f>
        <v>394</v>
      </c>
      <c r="E60" s="32">
        <f>'Ирк.тр.85'!E52+'Ирк.89'!E56+'кл.3'!E53+'Кл.5'!E52+'Кл.18'!E53+'Кл.20'!E50+'Кл.26'!E52+'обр.14'!E52+'обр.18'!E53+'обр.26'!E52+'бир.6'!E55+'бир.11'!E58+'бир.7а'!E50+'бир.7а'!E51</f>
        <v>15.96</v>
      </c>
      <c r="F60" s="36">
        <f t="shared" si="2"/>
        <v>3.99</v>
      </c>
      <c r="G60" s="36">
        <v>3.99</v>
      </c>
      <c r="H60" s="37">
        <v>3.99</v>
      </c>
      <c r="I60" s="36">
        <f t="shared" si="3"/>
        <v>3.99</v>
      </c>
    </row>
    <row r="61" spans="1:9" ht="12.75">
      <c r="A61" s="20" t="s">
        <v>21</v>
      </c>
      <c r="B61" s="20" t="s">
        <v>69</v>
      </c>
      <c r="C61" s="22" t="s">
        <v>87</v>
      </c>
      <c r="D61" s="18">
        <f>'Ирк.тр.85'!D53+'Ирк.89'!D57+'кл.3'!D54+'Кл.5'!D53+'Кл.18'!D54+'Кл.20'!D51+'Кл.26'!D53+'обр.14'!D53+'обр.18'!D54+'обр.26'!D53+'бир.3'!D51+'бир.5'!D52+'бир.6'!D56+'бир.7'!D52+'бир.7а'!D52+'бир.11'!D59</f>
        <v>1840</v>
      </c>
      <c r="E61" s="32">
        <f>'Ирк.тр.85'!E53+'Ирк.89'!E57+'кл.3'!E54+'Кл.5'!E53+'Кл.18'!E54+'Кл.20'!E51+'Кл.26'!E53+'обр.14'!E53+'обр.18'!E54+'обр.26'!E53+'бир.6'!E56+'бир.11'!E59+'бир.3'!E51+'бир.5'!E52+'бир.7'!E52+'бир.7а'!E52</f>
        <v>125.11999999999999</v>
      </c>
      <c r="F61" s="36">
        <f t="shared" si="2"/>
        <v>31.279999999999998</v>
      </c>
      <c r="G61" s="36">
        <v>31.28</v>
      </c>
      <c r="H61" s="37">
        <v>31.28</v>
      </c>
      <c r="I61" s="36">
        <f t="shared" si="3"/>
        <v>31.279999999999987</v>
      </c>
    </row>
    <row r="62" spans="1:9" ht="15.75" customHeight="1">
      <c r="A62" s="46" t="s">
        <v>23</v>
      </c>
      <c r="B62" s="21" t="s">
        <v>71</v>
      </c>
      <c r="C62" s="22" t="s">
        <v>72</v>
      </c>
      <c r="D62" s="18">
        <f>'Ирк.тр.85'!D54+'Ирк.89'!D58+'кл.3'!D55+'Кл.5'!D54+'Кл.18'!D55+'Кл.20'!D52+'Кл.26'!D54+'обр.14'!D54+'обр.18'!D55+'обр.26'!D54+'бир.3'!D52+'бир.5'!D53+'бир.6'!D57+'бир.7'!D53+'бир.7а'!D53+'бир.11'!D60</f>
        <v>424</v>
      </c>
      <c r="E62" s="32">
        <f>'Ирк.тр.85'!E54+'Ирк.89'!E58+'кл.3'!E55+'Кл.5'!E54+'Кл.18'!E55+'Кл.20'!E52+'Кл.26'!E54+'обр.14'!E54+'обр.18'!E55+'обр.26'!E54+'бир.6'!E57+'бир.11'!E60+'бир.3'!E52+'бир.5'!E53+'бир.7'!E53+'бир.7а'!E53</f>
        <v>21.2</v>
      </c>
      <c r="F62" s="36">
        <f t="shared" si="2"/>
        <v>5.3</v>
      </c>
      <c r="G62" s="36">
        <v>5.3</v>
      </c>
      <c r="H62" s="37">
        <v>5.3</v>
      </c>
      <c r="I62" s="36">
        <v>5.3</v>
      </c>
    </row>
    <row r="63" spans="1:9" ht="12.75">
      <c r="A63" s="20" t="s">
        <v>73</v>
      </c>
      <c r="B63" s="20" t="s">
        <v>74</v>
      </c>
      <c r="C63" s="22" t="s">
        <v>75</v>
      </c>
      <c r="D63" s="18">
        <f>'Ирк.тр.85'!D55+'Ирк.89'!D59+'кл.3'!D56+'Кл.5'!D55+'Кл.18'!D56+'Кл.20'!D53+'Кл.26'!D55+'обр.14'!D55+'обр.18'!D56+'обр.26'!D55+'бир.3'!D53+'бир.5'!D54+'бир.6'!D58+'бир.7'!D54+'бир.7а'!D54+'бир.11'!D61</f>
        <v>40</v>
      </c>
      <c r="E63" s="32">
        <f>'Ирк.тр.85'!E55+'Ирк.89'!E59+'кл.3'!E56+'Кл.5'!E55+'Кл.18'!E56+'Кл.20'!E53+'Кл.26'!E55+'обр.14'!E55+'обр.18'!E56+'обр.26'!E55+'бир.6'!E58+'бир.11'!E61</f>
        <v>4</v>
      </c>
      <c r="F63" s="36">
        <f t="shared" si="2"/>
        <v>1</v>
      </c>
      <c r="G63" s="36">
        <v>1</v>
      </c>
      <c r="H63" s="37">
        <v>1</v>
      </c>
      <c r="I63" s="36">
        <f t="shared" si="3"/>
        <v>1</v>
      </c>
    </row>
    <row r="64" spans="1:9" ht="12.75">
      <c r="A64" s="20" t="s">
        <v>26</v>
      </c>
      <c r="B64" s="21" t="s">
        <v>77</v>
      </c>
      <c r="C64" s="22" t="s">
        <v>68</v>
      </c>
      <c r="D64" s="18">
        <f>'Ирк.тр.85'!D56+'Ирк.89'!D60+'кл.3'!D57+'Кл.5'!D56+'Кл.18'!D57+'Кл.20'!D54+'Кл.26'!D56+'обр.14'!D56+'обр.18'!D57+'обр.26'!D56+'бир.3'!D54+'бир.5'!D55+'бир.6'!D59+'бир.7'!D55+'бир.7а'!D55+'бир.11'!D62</f>
        <v>372</v>
      </c>
      <c r="E64" s="32">
        <f>'Ирк.тр.85'!E56+'Ирк.89'!E60+'кл.3'!E57+'Кл.5'!E56+'Кл.18'!E57+'Кл.20'!E54+'Кл.26'!E56+'обр.14'!E56+'обр.18'!E57+'обр.26'!E56+'бир.6'!E59+'бир.11'!E62+'бир.3'!E54+'бир.5'!E55+'бир.7'!E55+'бир.7а'!E55</f>
        <v>11.904</v>
      </c>
      <c r="F64" s="36">
        <f t="shared" si="2"/>
        <v>2.976</v>
      </c>
      <c r="G64" s="36">
        <v>2.98</v>
      </c>
      <c r="H64" s="37">
        <v>2.98</v>
      </c>
      <c r="I64" s="36">
        <f t="shared" si="3"/>
        <v>2.9680000000000004</v>
      </c>
    </row>
    <row r="65" spans="1:9" ht="15" customHeight="1">
      <c r="A65" s="20" t="s">
        <v>28</v>
      </c>
      <c r="B65" s="21" t="s">
        <v>79</v>
      </c>
      <c r="C65" s="22" t="s">
        <v>80</v>
      </c>
      <c r="D65" s="18"/>
      <c r="E65" s="32"/>
      <c r="F65" s="36"/>
      <c r="G65" s="36"/>
      <c r="H65" s="37"/>
      <c r="I65" s="36"/>
    </row>
    <row r="66" spans="1:9" ht="12.75">
      <c r="A66" s="20" t="s">
        <v>70</v>
      </c>
      <c r="B66" s="21" t="s">
        <v>82</v>
      </c>
      <c r="C66" s="22" t="s">
        <v>83</v>
      </c>
      <c r="D66" s="18">
        <f>'Ирк.тр.85'!D58+'Ирк.89'!D62+'кл.3'!D59+'Кл.5'!D58+'Кл.18'!D59+'Кл.20'!D56+'Кл.26'!D58+'обр.14'!D58+'обр.18'!D59+'обр.26'!D58+'бир.3'!D56+'бир.5'!D57+'бир.6'!D61+'бир.7'!D57+'бир.7а'!D57+'бир.11'!D64</f>
        <v>1057</v>
      </c>
      <c r="E66" s="32">
        <f>'Ирк.тр.85'!E58+'Ирк.89'!E62+'кл.3'!E59+'Кл.5'!E58+'Кл.18'!E59+'Кл.20'!E56+'Кл.26'!E58+'обр.14'!E58+'обр.18'!E59+'обр.26'!E58+'бир.6'!E61+'бир.11'!E64+'бир.3'!E56+'бир.5'!E57+'бир.7'!E57+'бир.7а'!E57</f>
        <v>21.18</v>
      </c>
      <c r="F66" s="36">
        <f t="shared" si="2"/>
        <v>5.295</v>
      </c>
      <c r="G66" s="36">
        <v>5.3</v>
      </c>
      <c r="H66" s="37">
        <v>5.3</v>
      </c>
      <c r="I66" s="36">
        <f t="shared" si="3"/>
        <v>5.285000000000001</v>
      </c>
    </row>
    <row r="67" spans="1:9" ht="12.75">
      <c r="A67" s="20" t="s">
        <v>73</v>
      </c>
      <c r="B67" s="21" t="s">
        <v>154</v>
      </c>
      <c r="C67" s="22" t="s">
        <v>144</v>
      </c>
      <c r="D67" s="18">
        <f>'Ирк.тр.85'!D59+'Ирк.89'!D63+'кл.3'!D60+'Кл.5'!D59+'Кл.18'!D60+'Кл.20'!D57+'Кл.26'!D59+'обр.14'!D59+'обр.18'!D60+'обр.26'!D59+'бир.3'!D57+'бир.5'!D58+'бир.6'!D62+'бир.7'!D58+'бир.7а'!D58+'бир.11'!D65</f>
        <v>297</v>
      </c>
      <c r="E67" s="32">
        <f>'Ирк.тр.85'!E59+'Ирк.89'!E63+'кл.3'!E60+'Кл.5'!E59+'Кл.18'!E60+'Кл.20'!E57+'Кл.26'!E59+'обр.14'!E59+'обр.18'!E60+'обр.26'!E59+'бир.3'!E57+'бир.5'!E58+'бир.6'!E62+'бир.7'!E58+'бир.7а'!E58+'бир.11'!E65</f>
        <v>38.016</v>
      </c>
      <c r="F67" s="36">
        <f t="shared" si="2"/>
        <v>9.504</v>
      </c>
      <c r="G67" s="36">
        <v>9.5</v>
      </c>
      <c r="H67" s="37">
        <v>9.5</v>
      </c>
      <c r="I67" s="36">
        <f t="shared" si="3"/>
        <v>9.512</v>
      </c>
    </row>
    <row r="68" spans="1:9" ht="12.75">
      <c r="A68" s="20" t="s">
        <v>76</v>
      </c>
      <c r="B68" s="21" t="s">
        <v>155</v>
      </c>
      <c r="C68" s="22" t="s">
        <v>144</v>
      </c>
      <c r="D68" s="18">
        <f>'Ирк.тр.85'!D60+'Ирк.89'!D64+'кл.3'!D61+'Кл.5'!D60+'Кл.18'!D61+'Кл.20'!D58+'Кл.26'!D60+'обр.14'!D60+'обр.18'!D61+'обр.26'!D60+'бир.3'!D58+'бир.5'!D59+'бир.6'!D63+'бир.7'!D59+'бир.7а'!D59+'бир.11'!D66</f>
        <v>209</v>
      </c>
      <c r="E68" s="32">
        <f>'Ирк.тр.85'!E60+'Ирк.89'!E64+'кл.3'!E61+'Кл.5'!E60+'Кл.18'!E61+'Кл.20'!E58+'Кл.26'!E60+'обр.14'!E60+'обр.18'!E61+'обр.26'!E60+'бир.3'!E58+'бир.5'!E59+'бир.6'!E63+'бир.7'!E59+'бир.7а'!E59+'бир.11'!E66</f>
        <v>31.767999999999994</v>
      </c>
      <c r="F68" s="36">
        <f t="shared" si="2"/>
        <v>7.941999999999998</v>
      </c>
      <c r="G68" s="36">
        <v>7.94</v>
      </c>
      <c r="H68" s="37">
        <v>7.94</v>
      </c>
      <c r="I68" s="36">
        <f t="shared" si="3"/>
        <v>7.945999999999992</v>
      </c>
    </row>
    <row r="69" spans="1:9" ht="12.75">
      <c r="A69" s="46" t="s">
        <v>78</v>
      </c>
      <c r="B69" s="21" t="s">
        <v>84</v>
      </c>
      <c r="C69" s="22" t="s">
        <v>85</v>
      </c>
      <c r="D69" s="18">
        <f>'Ирк.тр.85'!D61+'Ирк.89'!D65+'кл.3'!D62+'Кл.5'!D61+'Кл.18'!D62+'Кл.20'!D59+'Кл.26'!D61+'обр.14'!D61+'обр.18'!D62+'обр.26'!D61+'бир.3'!D59+'бир.5'!D60+'бир.6'!D64+'бир.7'!D60+'бир.7а'!D60+'бир.11'!D67</f>
        <v>84</v>
      </c>
      <c r="E69" s="32">
        <f>'Ирк.тр.85'!E61+'Ирк.89'!E65+'кл.3'!E62+'Кл.5'!E61+'Кл.18'!E62+'Кл.20'!E59+'Кл.26'!E61+'обр.14'!E61+'обр.18'!E62+'обр.26'!E61+'бир.3'!E59+'бир.5'!E60+'бир.6'!E64+'бир.7'!E60+'бир.7а'!E60+'бир.11'!E67</f>
        <v>8.399999999999999</v>
      </c>
      <c r="F69" s="36">
        <f t="shared" si="2"/>
        <v>2.0999999999999996</v>
      </c>
      <c r="G69" s="36">
        <v>2.1</v>
      </c>
      <c r="H69" s="37">
        <v>2.1</v>
      </c>
      <c r="I69" s="36">
        <f t="shared" si="3"/>
        <v>2.099999999999999</v>
      </c>
    </row>
    <row r="70" spans="1:9" ht="12.75">
      <c r="A70" s="46" t="s">
        <v>81</v>
      </c>
      <c r="B70" s="21" t="s">
        <v>86</v>
      </c>
      <c r="C70" s="22" t="s">
        <v>87</v>
      </c>
      <c r="D70" s="18">
        <f>'Ирк.тр.85'!D62+'Ирк.89'!D66+'кл.3'!D63+'Кл.5'!D62+'Кл.18'!D63+'Кл.20'!D60+'Кл.26'!D62+'обр.14'!D62+'обр.18'!D63+'обр.26'!D62+'бир.3'!D60+'бир.5'!D61+'бир.6'!D65+'бир.7'!D61+'бир.7а'!D61+'бир.11'!D68</f>
        <v>205</v>
      </c>
      <c r="E70" s="32">
        <f>'Ирк.тр.85'!E62+'Ирк.89'!E66+'кл.3'!E63+'Кл.5'!E62+'Кл.18'!E63+'Кл.20'!E60+'Кл.26'!E62+'обр.14'!E62+'обр.18'!E63+'обр.26'!E62+'бир.3'!E60+'бир.5'!E61+'бир.6'!E65+'бир.7'!E61+'бир.7а'!E61+'бир.11'!E68</f>
        <v>6.149999999999999</v>
      </c>
      <c r="F70" s="36">
        <f t="shared" si="2"/>
        <v>1.5374999999999996</v>
      </c>
      <c r="G70" s="36">
        <v>1.54</v>
      </c>
      <c r="H70" s="37">
        <v>1.54</v>
      </c>
      <c r="I70" s="36">
        <f t="shared" si="3"/>
        <v>1.5324999999999989</v>
      </c>
    </row>
    <row r="71" spans="1:9" ht="12.75">
      <c r="A71" s="46" t="s">
        <v>156</v>
      </c>
      <c r="B71" s="21" t="s">
        <v>88</v>
      </c>
      <c r="C71" s="22" t="s">
        <v>89</v>
      </c>
      <c r="D71" s="18">
        <f>'Ирк.тр.85'!D63+'Ирк.89'!D67+'кл.3'!D64+'Кл.5'!D63+'Кл.18'!D64+'Кл.20'!D61+'Кл.26'!D63+'обр.14'!D63+'обр.18'!D64+'обр.26'!D63+'бир.3'!D61+'бир.5'!D62+'бир.6'!D66+'бир.7'!D62+'бир.7а'!D62+'бир.11'!D69</f>
        <v>270</v>
      </c>
      <c r="E71" s="76">
        <f>'Ирк.тр.85'!E63+'Ирк.89'!E67+'кл.3'!E64+'Кл.5'!E63+'Кл.18'!E64+'Кл.20'!E61+'Кл.26'!E63+'обр.14'!E63+'обр.18'!E64+'обр.26'!E63+'бир.3'!E61+'бир.5'!E62+'бир.6'!E66+'бир.7'!E62+'бир.7а'!E62+'бир.11'!E69</f>
        <v>5.4</v>
      </c>
      <c r="F71" s="36">
        <f t="shared" si="2"/>
        <v>1.35</v>
      </c>
      <c r="G71" s="36">
        <v>1.35</v>
      </c>
      <c r="H71" s="37">
        <v>1.35</v>
      </c>
      <c r="I71" s="36">
        <f t="shared" si="3"/>
        <v>1.3500000000000005</v>
      </c>
    </row>
    <row r="72" spans="1:9" ht="12.75">
      <c r="A72" s="46" t="s">
        <v>157</v>
      </c>
      <c r="B72" s="37" t="s">
        <v>143</v>
      </c>
      <c r="C72" s="37" t="s">
        <v>144</v>
      </c>
      <c r="D72" s="37">
        <f>'Ирк.тр.85'!D64+'Ирк.89'!D68+'кл.3'!D65+'Кл.5'!D64+'Кл.18'!D65+'Кл.20'!D62+'Кл.26'!D64+'обр.14'!D64+'обр.18'!D65+'обр.26'!D64+'бир.3'!D62+'бир.5'!D63+'бир.6'!D67+'бир.7'!D63+'бир.7а'!D63+'бир.11'!D70</f>
        <v>734</v>
      </c>
      <c r="E72" s="37">
        <f>'Ирк.тр.85'!E64+'Ирк.89'!E68+'кл.3'!E65+'Кл.5'!E64+'Кл.18'!E65+'Кл.20'!E62+'Кл.26'!E64+'обр.14'!E64+'обр.18'!E65+'обр.26'!E64+'бир.3'!E62+'бир.5'!E63+'бир.6'!E67+'бир.7'!E63+'бир.7а'!E63+'бир.11'!E70</f>
        <v>116.10000000000001</v>
      </c>
      <c r="F72" s="36">
        <f t="shared" si="2"/>
        <v>29.025000000000002</v>
      </c>
      <c r="G72" s="37">
        <v>29.03</v>
      </c>
      <c r="H72" s="37">
        <v>29.03</v>
      </c>
      <c r="I72" s="36">
        <f t="shared" si="3"/>
        <v>29.015</v>
      </c>
    </row>
    <row r="73" spans="1:9" ht="12.75">
      <c r="A73" s="20" t="s">
        <v>31</v>
      </c>
      <c r="B73" s="137" t="s">
        <v>32</v>
      </c>
      <c r="C73" s="138"/>
      <c r="D73" s="138"/>
      <c r="E73" s="26"/>
      <c r="F73" s="36"/>
      <c r="G73" s="36"/>
      <c r="H73" s="37"/>
      <c r="I73" s="36"/>
    </row>
    <row r="74" spans="1:9" ht="12.75">
      <c r="A74" s="20" t="s">
        <v>33</v>
      </c>
      <c r="B74" s="21" t="s">
        <v>90</v>
      </c>
      <c r="C74" s="22" t="s">
        <v>91</v>
      </c>
      <c r="D74" s="18">
        <f>'Ирк.тр.85'!D66+'Ирк.89'!D70+'кл.3'!D67+'Кл.5'!D66+'Кл.18'!D67+'Кл.20'!D64+'Кл.26'!D66+'обр.14'!D66+'обр.18'!D67+'обр.26'!D66+'бир.3'!D64+'бир.5'!D65+'бир.6'!D69+'бир.7'!D65+'бир.7а'!D65+'бир.11'!D72</f>
        <v>341.26</v>
      </c>
      <c r="E74" s="32">
        <f>'Ирк.тр.85'!E66+'Ирк.89'!E70+'кл.3'!E67+'Кл.5'!E66+'Кл.18'!E67+'Кл.20'!E64+'Кл.26'!E66+'обр.14'!E66+'обр.18'!E67+'обр.26'!E66+'бир.3'!E64+'бир.5'!E65+'бир.6'!E69+'бир.7'!E65+'бир.7а'!E65+'бир.11'!E72</f>
        <v>70.882</v>
      </c>
      <c r="F74" s="36"/>
      <c r="G74" s="36">
        <v>70.88</v>
      </c>
      <c r="H74" s="37"/>
      <c r="I74" s="36"/>
    </row>
    <row r="75" spans="1:9" ht="12.75">
      <c r="A75" s="20" t="s">
        <v>39</v>
      </c>
      <c r="B75" s="137" t="s">
        <v>32</v>
      </c>
      <c r="C75" s="138"/>
      <c r="D75" s="138"/>
      <c r="E75" s="26"/>
      <c r="F75" s="36"/>
      <c r="G75" s="36"/>
      <c r="H75" s="37"/>
      <c r="I75" s="36"/>
    </row>
    <row r="76" spans="1:9" ht="12.75">
      <c r="A76" s="20" t="s">
        <v>40</v>
      </c>
      <c r="B76" s="21" t="s">
        <v>92</v>
      </c>
      <c r="C76" s="22" t="s">
        <v>93</v>
      </c>
      <c r="D76" s="18">
        <f>'Ирк.тр.85'!D68+'Ирк.89'!D72+'кл.3'!D69+'Кл.5'!D68+'Кл.18'!D69+'Кл.20'!D66+'Кл.26'!D68+'обр.14'!D68+'обр.18'!D69+'обр.26'!D68+'бир.3'!D66+'бир.5'!D67+'бир.6'!D71+'бир.7'!D67+'бир.7а'!D67+'бир.11'!D74</f>
        <v>37.68</v>
      </c>
      <c r="E76" s="32">
        <v>10.3</v>
      </c>
      <c r="F76" s="36"/>
      <c r="G76" s="36">
        <f>E76/2</f>
        <v>5.15</v>
      </c>
      <c r="H76" s="37">
        <v>5.15</v>
      </c>
      <c r="I76" s="36"/>
    </row>
    <row r="77" spans="1:9" ht="12.75">
      <c r="A77" s="20" t="s">
        <v>41</v>
      </c>
      <c r="B77" s="21" t="s">
        <v>94</v>
      </c>
      <c r="C77" s="22" t="s">
        <v>95</v>
      </c>
      <c r="D77" s="18"/>
      <c r="E77" s="32"/>
      <c r="F77" s="36"/>
      <c r="G77" s="36"/>
      <c r="H77" s="37"/>
      <c r="I77" s="36"/>
    </row>
    <row r="78" spans="1:9" ht="12.75">
      <c r="A78" s="20" t="s">
        <v>47</v>
      </c>
      <c r="B78" s="21" t="s">
        <v>96</v>
      </c>
      <c r="C78" s="22" t="s">
        <v>97</v>
      </c>
      <c r="D78" s="18">
        <f>'Ирк.тр.85'!D70+'Ирк.89'!D74+'кл.3'!D71+'Кл.5'!D70+'Кл.18'!D71+'Кл.20'!D68+'Кл.26'!D70+'обр.14'!D70+'обр.18'!D71+'обр.26'!D70+'бир.3'!D68+'бир.5'!D69+'бир.6'!D73+'бир.7'!D69+'бир.7а'!D69+'бир.11'!D76</f>
        <v>4673.679999999999</v>
      </c>
      <c r="E78" s="32">
        <f>'Ирк.тр.85'!E70+'Ирк.89'!E74+'кл.3'!E71+'Кл.5'!E70+'Кл.18'!E71+'Кл.20'!E68+'Кл.26'!E70+'обр.14'!E70+'обр.18'!E71+'обр.26'!E70+'бир.3'!E68+'бир.5'!E69+'бир.6'!E73+'бир.7'!E69+'бир.7а'!E69+'бир.11'!E76</f>
        <v>456.182944</v>
      </c>
      <c r="F78" s="36"/>
      <c r="G78" s="36">
        <f>'Ирк.тр.85'!G70+'Ирк.89'!G74+'кл.3'!G71+'Кл.5'!G70+'обр.14'!G70+'бир.6'!G73+'бир.11'!G76</f>
        <v>250.37</v>
      </c>
      <c r="H78" s="36">
        <f>E78-G78</f>
        <v>205.81294400000002</v>
      </c>
      <c r="I78" s="36"/>
    </row>
    <row r="79" spans="1:9" ht="12.75">
      <c r="A79" s="20" t="s">
        <v>52</v>
      </c>
      <c r="B79" s="21" t="s">
        <v>98</v>
      </c>
      <c r="C79" s="22" t="s">
        <v>91</v>
      </c>
      <c r="D79" s="18">
        <f>'Ирк.тр.85'!D71+'Ирк.89'!D75+'кл.3'!D72+'Кл.5'!D71+'Кл.18'!D72+'Кл.20'!D69+'Кл.26'!D71+'обр.14'!D71+'обр.18'!D72+'обр.26'!D71+'бир.3'!D69+'бир.5'!D70+'бир.6'!D74+'бир.7'!D70+'бир.7а'!D70+'бир.11'!D77</f>
        <v>418.49</v>
      </c>
      <c r="E79" s="32">
        <f>'Ирк.тр.85'!E71+'Ирк.89'!E75+'кл.3'!E72+'Кл.5'!E71+'Кл.18'!E72+'Кл.20'!E69+'Кл.26'!E71+'обр.14'!E71+'обр.18'!E72+'обр.26'!E71+'бир.3'!E69+'бир.5'!E70+'бир.6'!E74+'бир.7'!E70+'бир.7а'!E70+'бир.11'!E77</f>
        <v>365.76026</v>
      </c>
      <c r="F79" s="36"/>
      <c r="G79" s="36">
        <v>209.93</v>
      </c>
      <c r="H79" s="36">
        <f>E79-G79</f>
        <v>155.83026</v>
      </c>
      <c r="I79" s="36"/>
    </row>
    <row r="80" spans="1:9" ht="12.75">
      <c r="A80" s="20" t="s">
        <v>99</v>
      </c>
      <c r="B80" s="21" t="s">
        <v>100</v>
      </c>
      <c r="C80" s="22" t="s">
        <v>101</v>
      </c>
      <c r="D80" s="18">
        <f>'Ирк.тр.85'!D72+'Ирк.89'!D76+'кл.3'!D73+'Кл.5'!D72+'Кл.18'!D73+'Кл.20'!D70+'Кл.26'!D72+'обр.14'!D72+'обр.18'!D73+'обр.26'!D72+'бир.3'!D70+'бир.5'!D71+'бир.6'!D75+'бир.7'!D71+'бир.7а'!D71+'бир.11'!D78</f>
        <v>1800</v>
      </c>
      <c r="E80" s="32">
        <f>'Ирк.тр.85'!E72+'Ирк.89'!E76+'кл.3'!E73+'Кл.5'!E72+'Кл.18'!E73+'Кл.20'!E70+'Кл.26'!E72+'обр.14'!E72+'обр.18'!E73+'обр.26'!E72+'бир.3'!E70+'бир.5'!E71+'бир.6'!E75+'бир.7'!E71+'бир.7а'!E71+'бир.11'!E78</f>
        <v>180</v>
      </c>
      <c r="F80" s="36">
        <f>E80/3</f>
        <v>60</v>
      </c>
      <c r="G80" s="36"/>
      <c r="H80" s="37">
        <v>56</v>
      </c>
      <c r="I80" s="36">
        <f>E80-F80-H80</f>
        <v>64</v>
      </c>
    </row>
    <row r="81" spans="1:9" s="24" customFormat="1" ht="12.75">
      <c r="A81" s="20" t="s">
        <v>102</v>
      </c>
      <c r="B81" s="21" t="s">
        <v>134</v>
      </c>
      <c r="C81" s="22" t="s">
        <v>130</v>
      </c>
      <c r="D81" s="18">
        <f>'Ирк.тр.85'!D73+'Ирк.89'!D77+'кл.3'!D74+'Кл.5'!D73+'Кл.18'!D74+'Кл.20'!D71+'Кл.26'!D73+'обр.14'!D73+'обр.18'!D74+'обр.26'!D73+'бир.3'!D71+'бир.5'!D72+'бир.6'!D76+'бир.7'!D72+'бир.7а'!D72+'бир.11'!D79</f>
        <v>80</v>
      </c>
      <c r="E81" s="32">
        <f>'Ирк.тр.85'!E73+'Ирк.89'!E77+'кл.3'!E74+'Кл.5'!E73+'Кл.18'!E74+'Кл.20'!E71+'Кл.26'!E73+'обр.14'!E73+'обр.18'!E74+'обр.26'!E73+'бир.3'!E71+'бир.5'!E72+'бир.6'!E76+'бир.7'!E72+'бир.7а'!E72+'бир.11'!E79</f>
        <v>68.22999999999999</v>
      </c>
      <c r="F81" s="36">
        <f>E81/4</f>
        <v>17.057499999999997</v>
      </c>
      <c r="G81" s="36">
        <v>17.06</v>
      </c>
      <c r="H81" s="37">
        <v>17.06</v>
      </c>
      <c r="I81" s="36">
        <f t="shared" si="3"/>
        <v>17.0525</v>
      </c>
    </row>
    <row r="82" spans="1:9" s="24" customFormat="1" ht="12.75">
      <c r="A82" s="20" t="s">
        <v>103</v>
      </c>
      <c r="B82" s="57" t="s">
        <v>135</v>
      </c>
      <c r="C82" s="58" t="s">
        <v>130</v>
      </c>
      <c r="D82" s="18">
        <f>'Ирк.89'!D78+'кл.3'!D75+'Кл.5'!D74+'Кл.18'!D75+'Кл.20'!D72+'Кл.26'!D74+'обр.14'!D74+'обр.18'!D75+'обр.26'!D74+'бир.3'!D72+'бир.5'!D73+'бир.6'!D77+'бир.7'!D73+'бир.7а'!D73+'бир.11'!D80</f>
        <v>2</v>
      </c>
      <c r="E82" s="32">
        <f>'Ирк.89'!E78+'кл.3'!E75+'Кл.5'!E74+'Кл.18'!E75+'Кл.20'!E72+'Кл.26'!E74+'обр.14'!E74+'обр.18'!E75+'обр.26'!E74+'бир.3'!E72+'бир.5'!E73+'бир.6'!E77+'бир.7'!E73+'бир.7а'!E73+'бир.11'!E80</f>
        <v>6</v>
      </c>
      <c r="F82" s="36">
        <f t="shared" si="2"/>
        <v>1.5</v>
      </c>
      <c r="G82" s="36">
        <v>1.5</v>
      </c>
      <c r="H82" s="37">
        <v>1.5</v>
      </c>
      <c r="I82" s="36">
        <v>1.5</v>
      </c>
    </row>
    <row r="83" spans="1:10" s="24" customFormat="1" ht="12.75">
      <c r="A83" s="142" t="s">
        <v>146</v>
      </c>
      <c r="B83" s="140"/>
      <c r="C83" s="140"/>
      <c r="D83" s="141"/>
      <c r="E83" s="40">
        <f>SUM(E52:E82)</f>
        <v>1802.193304</v>
      </c>
      <c r="F83" s="41">
        <f>SUM(F52:F82)</f>
        <v>239.767025</v>
      </c>
      <c r="G83" s="41">
        <f>SUM(G52:G82)</f>
        <v>716.1099999999999</v>
      </c>
      <c r="H83" s="41">
        <f>SUM(H52:H82)</f>
        <v>602.573204</v>
      </c>
      <c r="I83" s="41">
        <f>SUM(I52:I82)</f>
        <v>243.74107500000002</v>
      </c>
      <c r="J83" s="23"/>
    </row>
    <row r="84" spans="1:9" ht="12.75">
      <c r="A84" s="44" t="s">
        <v>104</v>
      </c>
      <c r="B84" s="4"/>
      <c r="C84" s="4"/>
      <c r="D84" s="39"/>
      <c r="E84" s="33"/>
      <c r="F84" s="36"/>
      <c r="G84" s="36"/>
      <c r="H84" s="37"/>
      <c r="I84" s="37"/>
    </row>
    <row r="85" spans="1:9" ht="12.75">
      <c r="A85" s="5" t="s">
        <v>7</v>
      </c>
      <c r="B85" s="10" t="s">
        <v>105</v>
      </c>
      <c r="C85" s="7"/>
      <c r="D85" s="18"/>
      <c r="E85" s="32"/>
      <c r="F85" s="36"/>
      <c r="G85" s="36"/>
      <c r="H85" s="37"/>
      <c r="I85" s="37"/>
    </row>
    <row r="86" spans="1:9" ht="12.75">
      <c r="A86" s="6" t="s">
        <v>9</v>
      </c>
      <c r="B86" s="6" t="s">
        <v>106</v>
      </c>
      <c r="C86" s="7" t="s">
        <v>107</v>
      </c>
      <c r="D86" s="18"/>
      <c r="E86" s="32">
        <f>'Ирк.тр.85'!E77+'Ирк.89'!E82+'кл.3'!E79+'кл.3'!E79+'Кл.5'!E78+'Кл.18'!E79+'Кл.20'!E76+'Кл.26'!E78+'обр.14'!E78+'обр.18'!E79+'обр.26'!E78+'бир.6'!E81+'бир.11'!E84</f>
        <v>1393.978</v>
      </c>
      <c r="F86" s="36">
        <f>E86/4</f>
        <v>348.4945</v>
      </c>
      <c r="G86" s="36">
        <v>348.49</v>
      </c>
      <c r="H86" s="37">
        <v>348.49</v>
      </c>
      <c r="I86" s="37">
        <v>348.49</v>
      </c>
    </row>
    <row r="87" spans="1:9" ht="12.75">
      <c r="A87" s="6" t="s">
        <v>12</v>
      </c>
      <c r="B87" s="8" t="s">
        <v>108</v>
      </c>
      <c r="C87" s="7" t="s">
        <v>109</v>
      </c>
      <c r="D87" s="18">
        <f>'Ирк.тр.85'!D78+'Ирк.89'!D83+'кл.3'!D80+'кл.3'!D80+'Кл.5'!D79+'Кл.18'!D80+'Кл.20'!D77+'Кл.26'!D79+'обр.14'!D79+'обр.18'!D80+'обр.26'!D79+'бир.6'!D82+'бир.11'!D85</f>
        <v>6</v>
      </c>
      <c r="E87" s="32">
        <f>'Ирк.тр.85'!E78+'Ирк.89'!E83+'кл.3'!E80+'Кл.5'!E79+'Кл.18'!E80+'Кл.20'!E77+'Кл.26'!E79+'обр.14'!E79+'обр.18'!E80+'обр.26'!E79+'бир.6'!E82+'бир.11'!E85</f>
        <v>63.53</v>
      </c>
      <c r="F87" s="36"/>
      <c r="G87" s="36">
        <f>E87/2</f>
        <v>31.765</v>
      </c>
      <c r="H87" s="36">
        <f>E87-G87</f>
        <v>31.765</v>
      </c>
      <c r="I87" s="37"/>
    </row>
    <row r="88" spans="1:9" ht="12.75">
      <c r="A88" s="6" t="s">
        <v>15</v>
      </c>
      <c r="B88" s="8" t="s">
        <v>110</v>
      </c>
      <c r="C88" s="7" t="s">
        <v>107</v>
      </c>
      <c r="D88" s="18">
        <f>'Ирк.тр.85'!D79+'Ирк.89'!D84+'кл.3'!D81+'Кл.5'!D80+'Кл.18'!D81+'Кл.20'!D78+'Кл.26'!D80+'обр.14'!D80+'обр.18'!D81+'обр.26'!D80+'бир.6'!D83+'бир.11'!D86</f>
        <v>34400</v>
      </c>
      <c r="E88" s="32">
        <f>'Ирк.тр.85'!E79+'Ирк.89'!E84+'кл.3'!E81+'Кл.5'!E80+'Кл.18'!E81+'Кл.20'!E78+'Кл.26'!E80+'обр.14'!E80+'обр.18'!E81+'обр.26'!E80+'бир.6'!E83+'бир.11'!E86</f>
        <v>162.5</v>
      </c>
      <c r="F88" s="36"/>
      <c r="G88" s="36">
        <f>E88/2</f>
        <v>81.25</v>
      </c>
      <c r="H88" s="36">
        <f>E88-G88</f>
        <v>81.25</v>
      </c>
      <c r="I88" s="37"/>
    </row>
    <row r="89" spans="1:9" ht="12.75">
      <c r="A89" s="6" t="s">
        <v>31</v>
      </c>
      <c r="B89" s="10" t="s">
        <v>111</v>
      </c>
      <c r="C89" s="7"/>
      <c r="D89" s="18"/>
      <c r="E89" s="32"/>
      <c r="F89" s="36"/>
      <c r="G89" s="36"/>
      <c r="H89" s="37"/>
      <c r="I89" s="37"/>
    </row>
    <row r="90" spans="1:9" ht="25.5">
      <c r="A90" s="6"/>
      <c r="B90" s="8" t="s">
        <v>112</v>
      </c>
      <c r="C90" s="7" t="s">
        <v>113</v>
      </c>
      <c r="D90" s="18"/>
      <c r="E90" s="32">
        <f>'обр.26'!E82</f>
        <v>0</v>
      </c>
      <c r="F90" s="36"/>
      <c r="G90" s="36"/>
      <c r="H90" s="37"/>
      <c r="I90" s="37"/>
    </row>
    <row r="91" spans="1:9" ht="25.5">
      <c r="A91" s="6"/>
      <c r="B91" s="8" t="s">
        <v>114</v>
      </c>
      <c r="C91" s="7" t="s">
        <v>113</v>
      </c>
      <c r="D91" s="18">
        <f>'Ирк.тр.85'!D82+'Ирк.89'!D87+'кл.3'!D84+'кл.3'!D84+'Кл.5'!D83+'Кл.18'!D84+'Кл.20'!D81+'Кл.26'!D83+'обр.14'!D83+'обр.18'!D84+'обр.26'!D83+'бир.6'!D86+'бир.11'!D89</f>
        <v>7381.2</v>
      </c>
      <c r="E91" s="32">
        <f>'Ирк.тр.85'!E82+'Ирк.89'!E87+'кл.3'!E84+'Кл.5'!E83+'Кл.18'!E84+'Кл.20'!E81+'Кл.26'!E83+'обр.14'!E83+'обр.18'!E84+'обр.26'!E83+'бир.6'!E86+'бир.11'!E89</f>
        <v>500.2</v>
      </c>
      <c r="F91" s="36">
        <f>E91/4</f>
        <v>125.05</v>
      </c>
      <c r="G91" s="36">
        <v>125.05</v>
      </c>
      <c r="H91" s="37">
        <v>125.05</v>
      </c>
      <c r="I91" s="36">
        <v>125.05</v>
      </c>
    </row>
    <row r="92" spans="1:9" ht="12.75">
      <c r="A92" s="179" t="s">
        <v>147</v>
      </c>
      <c r="B92" s="143"/>
      <c r="C92" s="143"/>
      <c r="D92" s="144"/>
      <c r="E92" s="40">
        <f>SUM(E86:E91)</f>
        <v>2120.208</v>
      </c>
      <c r="F92" s="41">
        <f>SUM(F86:F91)</f>
        <v>473.5445</v>
      </c>
      <c r="G92" s="41">
        <f>SUM(G86:G91)</f>
        <v>586.555</v>
      </c>
      <c r="H92" s="42">
        <f>SUM(H86:H91)</f>
        <v>586.555</v>
      </c>
      <c r="I92" s="41">
        <f>SUM(I86:I91)</f>
        <v>473.54</v>
      </c>
    </row>
    <row r="93" spans="1:9" ht="12.75">
      <c r="A93" s="180" t="s">
        <v>115</v>
      </c>
      <c r="B93" s="180"/>
      <c r="C93" s="180"/>
      <c r="D93" s="180"/>
      <c r="E93" s="34"/>
      <c r="F93" s="36"/>
      <c r="G93" s="36"/>
      <c r="H93" s="37"/>
      <c r="I93" s="37"/>
    </row>
    <row r="94" spans="1:9" ht="12.75">
      <c r="A94" s="45">
        <v>1</v>
      </c>
      <c r="B94" s="5" t="s">
        <v>126</v>
      </c>
      <c r="C94" s="11" t="s">
        <v>127</v>
      </c>
      <c r="D94" s="52">
        <f>'Ирк.тр.85'!D85+'Ирк.89'!D90+'кл.3'!D87+'Кл.5'!D86+'Кл.18'!D87+'Кл.20'!D84+'Кл.26'!D86+'обр.14'!D86+'обр.18'!D87+'обр.26'!D86+'бир.6'!D89+'бир.11'!D92+'бир.3'!D84+'бир.5'!D85+'бир.7'!D85+'бир.7а'!D85</f>
        <v>110691.20000000001</v>
      </c>
      <c r="E94" s="35">
        <f>D94*0.59*12/1000</f>
        <v>783.693696</v>
      </c>
      <c r="F94" s="36">
        <f>E94/4</f>
        <v>195.923424</v>
      </c>
      <c r="G94" s="36">
        <v>195.92</v>
      </c>
      <c r="H94" s="37">
        <v>195.92</v>
      </c>
      <c r="I94" s="36">
        <f>E94-F94-G94-H94</f>
        <v>195.93027200000003</v>
      </c>
    </row>
    <row r="95" spans="1:9" ht="12.75">
      <c r="A95" s="45">
        <v>2</v>
      </c>
      <c r="B95" s="5" t="s">
        <v>116</v>
      </c>
      <c r="C95" s="11" t="s">
        <v>117</v>
      </c>
      <c r="D95" s="52">
        <f>'Ирк.тр.85'!D86+'Ирк.89'!D91+'кл.3'!D88+'Кл.5'!D87+'Кл.18'!D88+'Кл.20'!D85+'Кл.26'!D87+'обр.14'!D87+'обр.18'!D88+'обр.26'!D87+'бир.6'!D90+'бир.11'!D93</f>
        <v>35464.2</v>
      </c>
      <c r="E95" s="31">
        <f>D95*1.4*2/1000</f>
        <v>99.29975999999998</v>
      </c>
      <c r="F95" s="36"/>
      <c r="G95" s="36">
        <f>E95/2</f>
        <v>49.64987999999999</v>
      </c>
      <c r="H95" s="36">
        <f>E95-G95</f>
        <v>49.64987999999999</v>
      </c>
      <c r="I95" s="37"/>
    </row>
    <row r="96" spans="1:9" ht="25.5">
      <c r="A96" s="45">
        <v>3</v>
      </c>
      <c r="B96" s="19" t="s">
        <v>128</v>
      </c>
      <c r="C96" s="11"/>
      <c r="D96" s="52"/>
      <c r="E96" s="35">
        <f>'Ирк.тр.85'!E87+'Ирк.89'!E92+'кл.3'!E89+'Кл.5'!E88+'Кл.18'!E89+'Кл.20'!E86+'Кл.26'!E88+'обр.14'!E88+'обр.18'!E89+'обр.26'!E88+'бир.6'!E91+'бир.11'!E94+'бир.3'!E86+'бир.5'!E87+'бир.7'!E87+'бир.7а'!E87</f>
        <v>381.57</v>
      </c>
      <c r="F96" s="36">
        <f>E96/4</f>
        <v>95.3925</v>
      </c>
      <c r="G96" s="36">
        <v>66.09</v>
      </c>
      <c r="H96" s="37">
        <v>66.09</v>
      </c>
      <c r="I96" s="36">
        <f>E96-F96-G96-H96</f>
        <v>153.9975</v>
      </c>
    </row>
    <row r="97" spans="1:9" ht="12.75">
      <c r="A97" s="45">
        <v>4</v>
      </c>
      <c r="B97" s="28" t="s">
        <v>191</v>
      </c>
      <c r="C97" s="114">
        <v>0.149</v>
      </c>
      <c r="D97" s="52"/>
      <c r="E97" s="31">
        <v>1058.297</v>
      </c>
      <c r="F97" s="36">
        <f>E97/4</f>
        <v>264.57425</v>
      </c>
      <c r="G97" s="36">
        <v>264.57</v>
      </c>
      <c r="H97" s="37">
        <v>264.57</v>
      </c>
      <c r="I97" s="36">
        <f>E97-F97-G97-H97</f>
        <v>264.58275</v>
      </c>
    </row>
    <row r="98" spans="1:9" ht="12.75">
      <c r="A98" s="120" t="s">
        <v>149</v>
      </c>
      <c r="B98" s="143"/>
      <c r="C98" s="143"/>
      <c r="D98" s="144"/>
      <c r="E98" s="40">
        <f>SUM(E94:E97)</f>
        <v>2322.8604560000003</v>
      </c>
      <c r="F98" s="41">
        <f>SUM(F94:F97)</f>
        <v>555.890174</v>
      </c>
      <c r="G98" s="41">
        <f>SUM(G94:G97)</f>
        <v>576.22988</v>
      </c>
      <c r="H98" s="41">
        <f>SUM(H94:H97)</f>
        <v>576.22988</v>
      </c>
      <c r="I98" s="41">
        <f>SUM(I94:I97)</f>
        <v>614.510522</v>
      </c>
    </row>
    <row r="99" spans="1:9" ht="12.75">
      <c r="A99" s="179" t="s">
        <v>150</v>
      </c>
      <c r="B99" s="143"/>
      <c r="C99" s="143"/>
      <c r="D99" s="144"/>
      <c r="E99" s="40">
        <f>E48+E83+E92+E98</f>
        <v>7243.89436</v>
      </c>
      <c r="F99" s="40">
        <f>F48+F83+F92+F98</f>
        <v>1651.4741989999998</v>
      </c>
      <c r="G99" s="40">
        <f>G48+G83+G92+G98</f>
        <v>2078.88118</v>
      </c>
      <c r="H99" s="40">
        <f>H48+H83+H92+H98</f>
        <v>2032.0043839999998</v>
      </c>
      <c r="I99" s="40">
        <f>I48+I83+I92+I98</f>
        <v>1481.5215970000002</v>
      </c>
    </row>
    <row r="100" spans="1:9" ht="12.75">
      <c r="A100" s="121" t="s">
        <v>151</v>
      </c>
      <c r="B100" s="122"/>
      <c r="C100" s="122"/>
      <c r="D100" s="122"/>
      <c r="E100" s="123"/>
      <c r="F100" s="36"/>
      <c r="G100" s="36"/>
      <c r="H100" s="37"/>
      <c r="I100" s="37"/>
    </row>
    <row r="101" spans="1:9" ht="25.5">
      <c r="A101" s="150">
        <v>1</v>
      </c>
      <c r="B101" s="63" t="s">
        <v>182</v>
      </c>
      <c r="C101" s="94" t="s">
        <v>107</v>
      </c>
      <c r="D101" s="52">
        <v>110691.2</v>
      </c>
      <c r="E101" s="104">
        <f>(2.32*D101*10/1000)+(4100*52*2/1000)</f>
        <v>2994.43584</v>
      </c>
      <c r="F101" s="97">
        <f>E101/4</f>
        <v>748.60896</v>
      </c>
      <c r="G101" s="97">
        <v>748.6</v>
      </c>
      <c r="H101" s="97">
        <v>748.6</v>
      </c>
      <c r="I101" s="97">
        <v>748.6</v>
      </c>
    </row>
    <row r="102" spans="1:9" ht="12.75">
      <c r="A102" s="151"/>
      <c r="B102" s="62" t="s">
        <v>183</v>
      </c>
      <c r="C102" s="66"/>
      <c r="D102" s="52"/>
      <c r="E102" s="104">
        <v>320.3</v>
      </c>
      <c r="F102" s="97">
        <f>E102/4</f>
        <v>80.075</v>
      </c>
      <c r="G102" s="97">
        <v>80.1</v>
      </c>
      <c r="H102" s="97">
        <v>80.1</v>
      </c>
      <c r="I102" s="97">
        <v>80.1</v>
      </c>
    </row>
    <row r="103" spans="1:9" ht="12.75">
      <c r="A103" s="152"/>
      <c r="B103" s="82" t="s">
        <v>184</v>
      </c>
      <c r="C103" s="81"/>
      <c r="D103" s="41"/>
      <c r="E103" s="99">
        <f>SUM(E101:E102)</f>
        <v>3314.7358400000003</v>
      </c>
      <c r="F103" s="100">
        <f>SUM(F101:F102)</f>
        <v>828.6839600000001</v>
      </c>
      <c r="G103" s="100">
        <f>SUM(G101:G102)</f>
        <v>828.7</v>
      </c>
      <c r="H103" s="100">
        <f>SUM(H101:H102)</f>
        <v>828.7</v>
      </c>
      <c r="I103" s="100">
        <f>SUM(I101:I102)</f>
        <v>828.7</v>
      </c>
    </row>
    <row r="104" spans="1:9" ht="25.5">
      <c r="A104" s="150">
        <v>2</v>
      </c>
      <c r="B104" s="62" t="s">
        <v>188</v>
      </c>
      <c r="C104" s="66" t="s">
        <v>107</v>
      </c>
      <c r="D104" s="52">
        <v>110691.2</v>
      </c>
      <c r="E104" s="104">
        <f>D104*1.62*12/1000</f>
        <v>2151.836928</v>
      </c>
      <c r="F104" s="97">
        <f>E104/4</f>
        <v>537.959232</v>
      </c>
      <c r="G104" s="97">
        <v>538</v>
      </c>
      <c r="H104" s="97">
        <v>538</v>
      </c>
      <c r="I104" s="97">
        <v>538</v>
      </c>
    </row>
    <row r="105" spans="1:9" ht="12.75">
      <c r="A105" s="151"/>
      <c r="B105" s="62" t="s">
        <v>183</v>
      </c>
      <c r="C105" s="66"/>
      <c r="D105" s="52"/>
      <c r="E105" s="104">
        <v>66.4</v>
      </c>
      <c r="F105" s="97">
        <f>E105/4</f>
        <v>16.6</v>
      </c>
      <c r="G105" s="97">
        <v>16.6</v>
      </c>
      <c r="H105" s="97">
        <v>16.6</v>
      </c>
      <c r="I105" s="97">
        <v>16.6</v>
      </c>
    </row>
    <row r="106" spans="1:9" ht="12.75">
      <c r="A106" s="152"/>
      <c r="B106" s="82" t="s">
        <v>189</v>
      </c>
      <c r="C106" s="81"/>
      <c r="D106" s="41"/>
      <c r="E106" s="99">
        <f>SUM(E104:E105)</f>
        <v>2218.2369280000003</v>
      </c>
      <c r="F106" s="99">
        <f>SUM(F104:F105)</f>
        <v>554.5592320000001</v>
      </c>
      <c r="G106" s="99">
        <f>SUM(G104:G105)</f>
        <v>554.6</v>
      </c>
      <c r="H106" s="99">
        <f>SUM(H104:H105)</f>
        <v>554.6</v>
      </c>
      <c r="I106" s="100">
        <f>SUM(I104:I105)</f>
        <v>554.6</v>
      </c>
    </row>
    <row r="107" spans="1:9" ht="25.5">
      <c r="A107" s="150">
        <v>3</v>
      </c>
      <c r="B107" s="62" t="s">
        <v>185</v>
      </c>
      <c r="C107" s="60" t="s">
        <v>107</v>
      </c>
      <c r="D107" s="52">
        <v>110691.2</v>
      </c>
      <c r="E107" s="104">
        <f>D107*0.45*12/1000</f>
        <v>597.73248</v>
      </c>
      <c r="F107" s="97">
        <f>E107/4</f>
        <v>149.43312</v>
      </c>
      <c r="G107" s="97">
        <v>149.4</v>
      </c>
      <c r="H107" s="97">
        <v>149.4</v>
      </c>
      <c r="I107" s="97">
        <v>149.4</v>
      </c>
    </row>
    <row r="108" spans="1:9" ht="12.75">
      <c r="A108" s="151"/>
      <c r="B108" s="63" t="s">
        <v>183</v>
      </c>
      <c r="C108" s="60"/>
      <c r="D108" s="52"/>
      <c r="E108" s="104">
        <f>603.132-E107</f>
        <v>5.399519999999939</v>
      </c>
      <c r="F108" s="97">
        <f>E108/4</f>
        <v>1.3498799999999846</v>
      </c>
      <c r="G108" s="97">
        <v>1.3</v>
      </c>
      <c r="H108" s="97">
        <v>1.3</v>
      </c>
      <c r="I108" s="97">
        <v>1.3</v>
      </c>
    </row>
    <row r="109" spans="1:9" ht="25.5">
      <c r="A109" s="152"/>
      <c r="B109" s="83" t="s">
        <v>186</v>
      </c>
      <c r="C109" s="84"/>
      <c r="D109" s="41"/>
      <c r="E109" s="99">
        <f>SUM(E107:E108)</f>
        <v>603.132</v>
      </c>
      <c r="F109" s="99">
        <f>SUM(F107:F108)</f>
        <v>150.783</v>
      </c>
      <c r="G109" s="99">
        <f>SUM(G107:G108)</f>
        <v>150.70000000000002</v>
      </c>
      <c r="H109" s="99">
        <f>SUM(H107:H108)</f>
        <v>150.70000000000002</v>
      </c>
      <c r="I109" s="99">
        <f>SUM(I107:I108)</f>
        <v>150.70000000000002</v>
      </c>
    </row>
    <row r="110" spans="1:9" ht="12.75">
      <c r="A110" s="126" t="s">
        <v>152</v>
      </c>
      <c r="B110" s="119"/>
      <c r="C110" s="119"/>
      <c r="D110" s="119"/>
      <c r="E110" s="106">
        <f>E103+E106+E109</f>
        <v>6136.104768</v>
      </c>
      <c r="F110" s="105">
        <f>F103+F106+F109</f>
        <v>1534.026192</v>
      </c>
      <c r="G110" s="105">
        <f>G103+G106+G109</f>
        <v>1534.0000000000002</v>
      </c>
      <c r="H110" s="105">
        <f>H103+H106+H109</f>
        <v>1534.0000000000002</v>
      </c>
      <c r="I110" s="105">
        <f>I103+I106+I109</f>
        <v>1534.0000000000002</v>
      </c>
    </row>
    <row r="111" spans="1:9" ht="15.75">
      <c r="A111" s="175" t="s">
        <v>153</v>
      </c>
      <c r="B111" s="176"/>
      <c r="C111" s="176"/>
      <c r="D111" s="176"/>
      <c r="E111" s="65">
        <f>E99+E110</f>
        <v>13379.999128</v>
      </c>
      <c r="F111" s="65">
        <f>F99+F110</f>
        <v>3185.5003909999996</v>
      </c>
      <c r="G111" s="65">
        <f>G99+G110</f>
        <v>3612.8811800000003</v>
      </c>
      <c r="H111" s="65">
        <f>H99+H110</f>
        <v>3566.004384</v>
      </c>
      <c r="I111" s="65">
        <f>I99+I110</f>
        <v>3015.5215970000004</v>
      </c>
    </row>
    <row r="112" spans="1:9" ht="12.75">
      <c r="A112" s="177" t="s">
        <v>118</v>
      </c>
      <c r="B112" s="177"/>
      <c r="C112" s="177"/>
      <c r="D112" s="177"/>
      <c r="E112" s="178"/>
      <c r="F112" s="36"/>
      <c r="G112" s="36"/>
      <c r="H112" s="37"/>
      <c r="I112" s="37"/>
    </row>
    <row r="113" spans="1:9" ht="12.75">
      <c r="A113" s="5" t="s">
        <v>7</v>
      </c>
      <c r="B113" s="5" t="s">
        <v>119</v>
      </c>
      <c r="C113" s="12" t="s">
        <v>120</v>
      </c>
      <c r="D113" s="52">
        <v>110.691</v>
      </c>
      <c r="E113" s="31"/>
      <c r="F113" s="36"/>
      <c r="G113" s="36"/>
      <c r="H113" s="37"/>
      <c r="I113" s="37"/>
    </row>
    <row r="114" spans="1:9" ht="12.75">
      <c r="A114" s="5" t="s">
        <v>31</v>
      </c>
      <c r="B114" s="5" t="s">
        <v>121</v>
      </c>
      <c r="C114" s="12" t="s">
        <v>122</v>
      </c>
      <c r="D114" s="52">
        <f>12+4</f>
        <v>16</v>
      </c>
      <c r="E114" s="31"/>
      <c r="F114" s="36"/>
      <c r="G114" s="36"/>
      <c r="H114" s="37"/>
      <c r="I114" s="37"/>
    </row>
    <row r="115" spans="1:9" ht="12.75">
      <c r="A115" s="5" t="s">
        <v>39</v>
      </c>
      <c r="B115" s="5" t="s">
        <v>123</v>
      </c>
      <c r="C115" s="12" t="s">
        <v>122</v>
      </c>
      <c r="D115" s="52">
        <f>396+160+120+144+153+153+63+40+196+220+60+60+60+80</f>
        <v>1905</v>
      </c>
      <c r="E115" s="31"/>
      <c r="F115" s="36"/>
      <c r="G115" s="36"/>
      <c r="H115" s="37"/>
      <c r="I115" s="37"/>
    </row>
    <row r="116" spans="1:7" ht="12.75">
      <c r="A116" s="3"/>
      <c r="B116" s="3"/>
      <c r="C116" s="3"/>
      <c r="D116" s="25"/>
      <c r="E116" s="25"/>
      <c r="F116" s="23"/>
      <c r="G116" s="23"/>
    </row>
    <row r="117" spans="1:7" ht="12.75">
      <c r="A117" s="3"/>
      <c r="B117" s="1"/>
      <c r="C117" s="188"/>
      <c r="D117" s="189"/>
      <c r="E117" s="189"/>
      <c r="F117" s="23"/>
      <c r="G117" s="23"/>
    </row>
    <row r="118" spans="1:7" ht="12.75">
      <c r="A118" s="3"/>
      <c r="B118" s="1"/>
      <c r="C118" s="1"/>
      <c r="D118" s="116"/>
      <c r="E118" s="116"/>
      <c r="F118" s="23"/>
      <c r="G118" s="23"/>
    </row>
    <row r="119" spans="2:7" ht="12.75">
      <c r="B119" s="117"/>
      <c r="C119" s="115"/>
      <c r="D119" s="116"/>
      <c r="E119" s="116"/>
      <c r="F119" s="23"/>
      <c r="G119" s="23"/>
    </row>
    <row r="120" spans="2:5" ht="12.75">
      <c r="B120" s="1"/>
      <c r="C120" s="1"/>
      <c r="D120" s="118"/>
      <c r="E120" s="118"/>
    </row>
    <row r="121" spans="5:9" ht="12.75">
      <c r="E121" s="23"/>
      <c r="G121" s="23">
        <f>F111+G111</f>
        <v>6798.381571</v>
      </c>
      <c r="H121" s="23">
        <f>F97+G97</f>
        <v>529.14425</v>
      </c>
      <c r="I121" s="23">
        <f>G121-H121</f>
        <v>6269.237321</v>
      </c>
    </row>
  </sheetData>
  <mergeCells count="35">
    <mergeCell ref="E6:I6"/>
    <mergeCell ref="A12:I12"/>
    <mergeCell ref="A13:I13"/>
    <mergeCell ref="E2:I2"/>
    <mergeCell ref="E3:I3"/>
    <mergeCell ref="E4:I4"/>
    <mergeCell ref="E5:I5"/>
    <mergeCell ref="A20:A21"/>
    <mergeCell ref="B20:B21"/>
    <mergeCell ref="C20:C21"/>
    <mergeCell ref="D20:E20"/>
    <mergeCell ref="F20:F21"/>
    <mergeCell ref="G20:G21"/>
    <mergeCell ref="H20:H21"/>
    <mergeCell ref="I20:I21"/>
    <mergeCell ref="B23:E23"/>
    <mergeCell ref="B33:D33"/>
    <mergeCell ref="B36:D36"/>
    <mergeCell ref="A48:D48"/>
    <mergeCell ref="A100:E100"/>
    <mergeCell ref="A101:A103"/>
    <mergeCell ref="A49:D49"/>
    <mergeCell ref="B73:D73"/>
    <mergeCell ref="B75:D75"/>
    <mergeCell ref="A83:D83"/>
    <mergeCell ref="A92:D92"/>
    <mergeCell ref="A93:D93"/>
    <mergeCell ref="A98:D98"/>
    <mergeCell ref="A99:D99"/>
    <mergeCell ref="A104:A106"/>
    <mergeCell ref="A107:A109"/>
    <mergeCell ref="A112:E112"/>
    <mergeCell ref="C117:E117"/>
    <mergeCell ref="A111:D111"/>
    <mergeCell ref="A110:D110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2:L115"/>
  <sheetViews>
    <sheetView workbookViewId="0" topLeftCell="A1">
      <selection activeCell="F13" sqref="F13"/>
    </sheetView>
  </sheetViews>
  <sheetFormatPr defaultColWidth="9.00390625" defaultRowHeight="12.75"/>
  <cols>
    <col min="1" max="1" width="4.125" style="24" customWidth="1"/>
    <col min="2" max="2" width="72.125" style="24" customWidth="1"/>
    <col min="3" max="3" width="17.00390625" style="24" customWidth="1"/>
    <col min="4" max="5" width="9.125" style="24" customWidth="1"/>
    <col min="6" max="6" width="8.125" style="24" customWidth="1"/>
    <col min="7" max="7" width="8.25390625" style="24" customWidth="1"/>
    <col min="8" max="8" width="8.00390625" style="24" customWidth="1"/>
    <col min="9" max="9" width="7.375" style="24" customWidth="1"/>
  </cols>
  <sheetData>
    <row r="2" spans="2:9" ht="12.75">
      <c r="B2" s="107" t="s">
        <v>207</v>
      </c>
      <c r="E2" s="173" t="s">
        <v>159</v>
      </c>
      <c r="F2" s="173"/>
      <c r="G2" s="173"/>
      <c r="H2" s="173"/>
      <c r="I2" s="173"/>
    </row>
    <row r="3" spans="2:9" ht="12.75">
      <c r="B3" s="24" t="s">
        <v>204</v>
      </c>
      <c r="E3" s="173" t="s">
        <v>192</v>
      </c>
      <c r="F3" s="173"/>
      <c r="G3" s="173"/>
      <c r="H3" s="173"/>
      <c r="I3" s="173"/>
    </row>
    <row r="4" spans="2:9" ht="12.75">
      <c r="B4" s="113" t="s">
        <v>214</v>
      </c>
      <c r="E4" s="173" t="s">
        <v>160</v>
      </c>
      <c r="F4" s="173"/>
      <c r="G4" s="173"/>
      <c r="H4" s="173"/>
      <c r="I4" s="173"/>
    </row>
    <row r="5" spans="5:9" ht="12.75">
      <c r="E5" s="174" t="s">
        <v>193</v>
      </c>
      <c r="F5" s="173"/>
      <c r="G5" s="173"/>
      <c r="H5" s="173"/>
      <c r="I5" s="173"/>
    </row>
    <row r="6" spans="5:9" ht="12.75">
      <c r="E6" s="112"/>
      <c r="F6" s="111"/>
      <c r="G6" s="111"/>
      <c r="H6" s="111"/>
      <c r="I6" s="111"/>
    </row>
    <row r="7" spans="5:9" ht="12.75">
      <c r="E7" s="112"/>
      <c r="F7" s="111"/>
      <c r="G7" s="111"/>
      <c r="H7" s="111"/>
      <c r="I7" s="111"/>
    </row>
    <row r="9" spans="1:9" s="24" customFormat="1" ht="12.75">
      <c r="A9" s="158" t="s">
        <v>125</v>
      </c>
      <c r="B9" s="158"/>
      <c r="C9" s="158"/>
      <c r="D9" s="158"/>
      <c r="E9" s="158"/>
      <c r="F9" s="158"/>
      <c r="G9" s="158"/>
      <c r="H9" s="158"/>
      <c r="I9" s="158"/>
    </row>
    <row r="10" spans="1:9" s="24" customFormat="1" ht="12.75">
      <c r="A10" s="70"/>
      <c r="B10" s="158" t="s">
        <v>225</v>
      </c>
      <c r="C10" s="158"/>
      <c r="D10" s="158"/>
      <c r="E10" s="158"/>
      <c r="F10" s="158"/>
      <c r="G10" s="158"/>
      <c r="H10" s="158"/>
      <c r="I10" s="158"/>
    </row>
    <row r="11" spans="1:9" s="24" customFormat="1" ht="12.75">
      <c r="A11" s="160" t="s">
        <v>178</v>
      </c>
      <c r="B11" s="160"/>
      <c r="C11" s="160"/>
      <c r="D11" s="160"/>
      <c r="E11" s="160"/>
      <c r="F11" s="160"/>
      <c r="G11" s="160"/>
      <c r="H11" s="160"/>
      <c r="I11" s="160"/>
    </row>
    <row r="12" spans="1:9" s="24" customFormat="1" ht="12.75">
      <c r="A12" s="110"/>
      <c r="B12" s="110"/>
      <c r="C12" s="110"/>
      <c r="D12" s="110"/>
      <c r="E12" s="110"/>
      <c r="F12" s="110"/>
      <c r="G12" s="110"/>
      <c r="H12" s="110"/>
      <c r="I12" s="110"/>
    </row>
    <row r="13" spans="1:9" s="24" customFormat="1" ht="12.75">
      <c r="A13" s="110"/>
      <c r="B13" s="110"/>
      <c r="C13" s="110"/>
      <c r="D13" s="110"/>
      <c r="E13" s="110"/>
      <c r="F13" s="110"/>
      <c r="G13" s="110"/>
      <c r="H13" s="110"/>
      <c r="I13" s="110"/>
    </row>
    <row r="14" spans="1:9" s="24" customFormat="1" ht="12.75">
      <c r="A14" s="110"/>
      <c r="B14" s="110"/>
      <c r="C14" s="110"/>
      <c r="D14" s="110"/>
      <c r="E14" s="110"/>
      <c r="F14" s="110"/>
      <c r="G14" s="110"/>
      <c r="H14" s="110"/>
      <c r="I14" s="110"/>
    </row>
    <row r="15" spans="1:7" s="24" customFormat="1" ht="12.75">
      <c r="A15" s="48"/>
      <c r="B15" s="47"/>
      <c r="C15" s="47"/>
      <c r="D15" s="47"/>
      <c r="E15" s="47"/>
      <c r="F15" s="23"/>
      <c r="G15" s="23"/>
    </row>
    <row r="16" spans="1:9" s="24" customFormat="1" ht="12.75">
      <c r="A16" s="170" t="s">
        <v>0</v>
      </c>
      <c r="B16" s="170" t="s">
        <v>1</v>
      </c>
      <c r="C16" s="170" t="s">
        <v>2</v>
      </c>
      <c r="D16" s="171" t="s">
        <v>3</v>
      </c>
      <c r="E16" s="172"/>
      <c r="F16" s="166" t="s">
        <v>139</v>
      </c>
      <c r="G16" s="166" t="s">
        <v>140</v>
      </c>
      <c r="H16" s="168" t="s">
        <v>141</v>
      </c>
      <c r="I16" s="168" t="s">
        <v>142</v>
      </c>
    </row>
    <row r="17" spans="1:9" s="24" customFormat="1" ht="38.25">
      <c r="A17" s="170"/>
      <c r="B17" s="170"/>
      <c r="C17" s="170"/>
      <c r="D17" s="50" t="s">
        <v>4</v>
      </c>
      <c r="E17" s="30" t="s">
        <v>5</v>
      </c>
      <c r="F17" s="167"/>
      <c r="G17" s="167"/>
      <c r="H17" s="169"/>
      <c r="I17" s="169"/>
    </row>
    <row r="18" spans="1:9" s="24" customFormat="1" ht="12.75">
      <c r="A18" s="51" t="s">
        <v>6</v>
      </c>
      <c r="B18" s="39"/>
      <c r="C18" s="39"/>
      <c r="D18" s="52"/>
      <c r="E18" s="31"/>
      <c r="F18" s="36"/>
      <c r="G18" s="36"/>
      <c r="H18" s="37"/>
      <c r="I18" s="37"/>
    </row>
    <row r="19" spans="1:9" s="24" customFormat="1" ht="12.75">
      <c r="A19" s="53" t="s">
        <v>7</v>
      </c>
      <c r="B19" s="164" t="s">
        <v>8</v>
      </c>
      <c r="C19" s="164"/>
      <c r="D19" s="164"/>
      <c r="E19" s="165"/>
      <c r="F19" s="36"/>
      <c r="G19" s="36"/>
      <c r="H19" s="37"/>
      <c r="I19" s="37"/>
    </row>
    <row r="20" spans="1:11" s="24" customFormat="1" ht="12.75">
      <c r="A20" s="20" t="s">
        <v>9</v>
      </c>
      <c r="B20" s="20" t="s">
        <v>10</v>
      </c>
      <c r="C20" s="22" t="s">
        <v>11</v>
      </c>
      <c r="D20" s="18">
        <v>2</v>
      </c>
      <c r="E20" s="32">
        <f>D20*0.7</f>
        <v>1.4</v>
      </c>
      <c r="F20" s="36"/>
      <c r="G20" s="36">
        <f>E20/2</f>
        <v>0.7</v>
      </c>
      <c r="H20" s="36">
        <f>E20-G20</f>
        <v>0.7</v>
      </c>
      <c r="I20" s="37"/>
      <c r="J20"/>
      <c r="K20"/>
    </row>
    <row r="21" spans="1:11" s="24" customFormat="1" ht="12.75">
      <c r="A21" s="20" t="s">
        <v>12</v>
      </c>
      <c r="B21" s="21" t="s">
        <v>13</v>
      </c>
      <c r="C21" s="58" t="s">
        <v>187</v>
      </c>
      <c r="D21" s="18"/>
      <c r="E21" s="32"/>
      <c r="F21" s="36"/>
      <c r="G21" s="36"/>
      <c r="H21" s="36"/>
      <c r="I21" s="37"/>
      <c r="J21"/>
      <c r="K21"/>
    </row>
    <row r="22" spans="1:9" s="24" customFormat="1" ht="12.75">
      <c r="A22" s="20" t="s">
        <v>15</v>
      </c>
      <c r="B22" s="21" t="s">
        <v>16</v>
      </c>
      <c r="C22" s="58" t="s">
        <v>187</v>
      </c>
      <c r="D22" s="18">
        <v>11.2</v>
      </c>
      <c r="E22" s="32">
        <f>D22*0.4</f>
        <v>4.4799999999999995</v>
      </c>
      <c r="F22" s="36"/>
      <c r="G22" s="36">
        <f>E22/2</f>
        <v>2.2399999999999998</v>
      </c>
      <c r="H22" s="36">
        <f>E22-G22</f>
        <v>2.2399999999999998</v>
      </c>
      <c r="I22" s="37"/>
    </row>
    <row r="23" spans="1:11" s="24" customFormat="1" ht="13.5" customHeight="1">
      <c r="A23" s="20" t="s">
        <v>17</v>
      </c>
      <c r="B23" s="21" t="s">
        <v>18</v>
      </c>
      <c r="C23" s="58" t="s">
        <v>187</v>
      </c>
      <c r="D23" s="18">
        <v>11.2</v>
      </c>
      <c r="E23" s="32">
        <f>D23*0.4</f>
        <v>4.4799999999999995</v>
      </c>
      <c r="F23" s="36"/>
      <c r="G23" s="36">
        <f>E23/2</f>
        <v>2.2399999999999998</v>
      </c>
      <c r="H23" s="36">
        <f>E23-G23</f>
        <v>2.2399999999999998</v>
      </c>
      <c r="I23" s="37"/>
      <c r="J23"/>
      <c r="K23"/>
    </row>
    <row r="24" spans="1:11" s="24" customFormat="1" ht="12.75">
      <c r="A24" s="20" t="s">
        <v>19</v>
      </c>
      <c r="B24" s="21" t="s">
        <v>20</v>
      </c>
      <c r="C24" s="58" t="s">
        <v>187</v>
      </c>
      <c r="D24" s="18">
        <v>11.2</v>
      </c>
      <c r="E24" s="32">
        <f>D24*0.3</f>
        <v>3.36</v>
      </c>
      <c r="F24" s="36"/>
      <c r="G24" s="36">
        <f>E24/2</f>
        <v>1.68</v>
      </c>
      <c r="H24" s="36">
        <f>E24-G24</f>
        <v>1.68</v>
      </c>
      <c r="I24" s="37"/>
      <c r="J24"/>
      <c r="K24"/>
    </row>
    <row r="25" spans="1:11" s="24" customFormat="1" ht="12.75">
      <c r="A25" s="20" t="s">
        <v>21</v>
      </c>
      <c r="B25" s="21" t="s">
        <v>22</v>
      </c>
      <c r="C25" s="58" t="s">
        <v>187</v>
      </c>
      <c r="D25" s="18">
        <v>11.2</v>
      </c>
      <c r="E25" s="32">
        <f>D25*0.4</f>
        <v>4.4799999999999995</v>
      </c>
      <c r="F25" s="36"/>
      <c r="G25" s="36">
        <f>E25/2</f>
        <v>2.2399999999999998</v>
      </c>
      <c r="H25" s="36">
        <f>E25-G25</f>
        <v>2.2399999999999998</v>
      </c>
      <c r="I25" s="37"/>
      <c r="J25"/>
      <c r="K25"/>
    </row>
    <row r="26" spans="1:11" s="24" customFormat="1" ht="12.75">
      <c r="A26" s="20" t="s">
        <v>23</v>
      </c>
      <c r="B26" s="20" t="s">
        <v>24</v>
      </c>
      <c r="C26" s="22" t="s">
        <v>25</v>
      </c>
      <c r="D26" s="18"/>
      <c r="E26" s="32"/>
      <c r="F26" s="36"/>
      <c r="G26" s="36"/>
      <c r="H26" s="37"/>
      <c r="I26" s="37"/>
      <c r="J26"/>
      <c r="K26"/>
    </row>
    <row r="27" spans="1:11" s="24" customFormat="1" ht="15" customHeight="1">
      <c r="A27" s="20" t="s">
        <v>26</v>
      </c>
      <c r="B27" s="21" t="s">
        <v>27</v>
      </c>
      <c r="C27" s="22" t="s">
        <v>25</v>
      </c>
      <c r="D27" s="18"/>
      <c r="E27" s="32"/>
      <c r="F27" s="36"/>
      <c r="G27" s="36"/>
      <c r="H27" s="37"/>
      <c r="I27" s="37"/>
      <c r="J27"/>
      <c r="K27"/>
    </row>
    <row r="28" spans="1:11" s="24" customFormat="1" ht="13.5" customHeight="1">
      <c r="A28" s="20" t="s">
        <v>28</v>
      </c>
      <c r="B28" s="21" t="s">
        <v>29</v>
      </c>
      <c r="C28" s="22" t="s">
        <v>30</v>
      </c>
      <c r="D28" s="18"/>
      <c r="E28" s="32"/>
      <c r="F28" s="36"/>
      <c r="G28" s="36"/>
      <c r="H28" s="37"/>
      <c r="I28" s="37"/>
      <c r="J28"/>
      <c r="K28"/>
    </row>
    <row r="29" spans="1:11" s="24" customFormat="1" ht="12.75">
      <c r="A29" s="20" t="s">
        <v>31</v>
      </c>
      <c r="B29" s="137" t="s">
        <v>32</v>
      </c>
      <c r="C29" s="138"/>
      <c r="D29" s="138"/>
      <c r="E29" s="26"/>
      <c r="F29" s="36"/>
      <c r="G29" s="36"/>
      <c r="H29" s="37"/>
      <c r="I29" s="37"/>
      <c r="J29"/>
      <c r="K29"/>
    </row>
    <row r="30" spans="1:11" s="24" customFormat="1" ht="12.75">
      <c r="A30" s="20" t="s">
        <v>33</v>
      </c>
      <c r="B30" s="21" t="s">
        <v>34</v>
      </c>
      <c r="C30" s="54" t="s">
        <v>35</v>
      </c>
      <c r="D30" s="18"/>
      <c r="E30" s="32"/>
      <c r="F30" s="36"/>
      <c r="G30" s="36"/>
      <c r="H30" s="37"/>
      <c r="I30" s="37"/>
      <c r="J30"/>
      <c r="K30"/>
    </row>
    <row r="31" spans="1:11" s="24" customFormat="1" ht="12.75">
      <c r="A31" s="20" t="s">
        <v>36</v>
      </c>
      <c r="B31" s="20" t="s">
        <v>37</v>
      </c>
      <c r="C31" s="54" t="s">
        <v>38</v>
      </c>
      <c r="D31" s="18"/>
      <c r="E31" s="32"/>
      <c r="F31" s="36"/>
      <c r="G31" s="36"/>
      <c r="H31" s="37"/>
      <c r="I31" s="37"/>
      <c r="J31"/>
      <c r="K31"/>
    </row>
    <row r="32" spans="1:11" s="24" customFormat="1" ht="12.75">
      <c r="A32" s="20" t="s">
        <v>39</v>
      </c>
      <c r="B32" s="137" t="s">
        <v>32</v>
      </c>
      <c r="C32" s="138"/>
      <c r="D32" s="138"/>
      <c r="E32" s="26"/>
      <c r="F32" s="36"/>
      <c r="G32" s="36"/>
      <c r="H32" s="37"/>
      <c r="I32" s="37"/>
      <c r="J32"/>
      <c r="K32"/>
    </row>
    <row r="33" spans="1:11" s="24" customFormat="1" ht="12.75">
      <c r="A33" s="20" t="s">
        <v>40</v>
      </c>
      <c r="B33" s="46" t="s">
        <v>138</v>
      </c>
      <c r="C33" s="54" t="s">
        <v>38</v>
      </c>
      <c r="D33" s="18">
        <v>4</v>
      </c>
      <c r="E33" s="32">
        <f>D33*0.1</f>
        <v>0.4</v>
      </c>
      <c r="F33" s="36">
        <v>0.2</v>
      </c>
      <c r="G33" s="36"/>
      <c r="H33" s="37"/>
      <c r="I33" s="37">
        <v>0.2</v>
      </c>
      <c r="J33"/>
      <c r="K33"/>
    </row>
    <row r="34" spans="1:11" s="24" customFormat="1" ht="12.75">
      <c r="A34" s="20" t="s">
        <v>41</v>
      </c>
      <c r="B34" s="20" t="s">
        <v>42</v>
      </c>
      <c r="C34" s="54"/>
      <c r="D34" s="18"/>
      <c r="E34" s="32"/>
      <c r="F34" s="36"/>
      <c r="G34" s="36"/>
      <c r="H34" s="37"/>
      <c r="I34" s="37"/>
      <c r="J34"/>
      <c r="K34"/>
    </row>
    <row r="35" spans="1:11" s="24" customFormat="1" ht="12.75">
      <c r="A35" s="20"/>
      <c r="B35" s="20" t="s">
        <v>43</v>
      </c>
      <c r="C35" s="54" t="s">
        <v>44</v>
      </c>
      <c r="D35" s="18">
        <v>8</v>
      </c>
      <c r="E35" s="32">
        <f>D35*0.05</f>
        <v>0.4</v>
      </c>
      <c r="F35" s="36">
        <v>0.2</v>
      </c>
      <c r="G35" s="36"/>
      <c r="H35" s="37"/>
      <c r="I35" s="37">
        <v>0.2</v>
      </c>
      <c r="J35"/>
      <c r="K35"/>
    </row>
    <row r="36" spans="1:11" s="24" customFormat="1" ht="12.75">
      <c r="A36" s="20"/>
      <c r="B36" s="20" t="s">
        <v>45</v>
      </c>
      <c r="C36" s="54" t="s">
        <v>46</v>
      </c>
      <c r="D36" s="18"/>
      <c r="E36" s="32"/>
      <c r="F36" s="36"/>
      <c r="G36" s="36"/>
      <c r="H36" s="37"/>
      <c r="I36" s="37"/>
      <c r="J36"/>
      <c r="K36"/>
    </row>
    <row r="37" spans="1:11" s="24" customFormat="1" ht="12.75">
      <c r="A37" s="20" t="s">
        <v>47</v>
      </c>
      <c r="B37" s="20" t="s">
        <v>48</v>
      </c>
      <c r="C37" s="54"/>
      <c r="D37" s="18"/>
      <c r="E37" s="32"/>
      <c r="F37" s="36"/>
      <c r="G37" s="36"/>
      <c r="H37" s="37"/>
      <c r="I37" s="37"/>
      <c r="J37"/>
      <c r="K37"/>
    </row>
    <row r="38" spans="1:11" s="24" customFormat="1" ht="12.75">
      <c r="A38" s="20"/>
      <c r="B38" s="20" t="s">
        <v>49</v>
      </c>
      <c r="C38" s="54" t="s">
        <v>50</v>
      </c>
      <c r="D38" s="18"/>
      <c r="E38" s="32"/>
      <c r="F38" s="36"/>
      <c r="G38" s="36"/>
      <c r="H38" s="37"/>
      <c r="I38" s="37"/>
      <c r="J38"/>
      <c r="K38"/>
    </row>
    <row r="39" spans="1:11" s="24" customFormat="1" ht="12.75">
      <c r="A39" s="20"/>
      <c r="B39" s="20" t="s">
        <v>51</v>
      </c>
      <c r="C39" s="54" t="s">
        <v>50</v>
      </c>
      <c r="D39" s="18">
        <v>100</v>
      </c>
      <c r="E39" s="32">
        <f>0.3*D39</f>
        <v>30</v>
      </c>
      <c r="F39" s="36"/>
      <c r="G39" s="36">
        <v>15</v>
      </c>
      <c r="H39" s="37"/>
      <c r="I39" s="37">
        <v>15</v>
      </c>
      <c r="J39"/>
      <c r="K39"/>
    </row>
    <row r="40" spans="1:11" s="24" customFormat="1" ht="12.75">
      <c r="A40" s="20" t="s">
        <v>52</v>
      </c>
      <c r="B40" s="20" t="s">
        <v>53</v>
      </c>
      <c r="C40" s="54" t="s">
        <v>54</v>
      </c>
      <c r="D40" s="18">
        <v>1400</v>
      </c>
      <c r="E40" s="32">
        <f>D40*0.0134</f>
        <v>18.76</v>
      </c>
      <c r="F40" s="36">
        <v>18.76</v>
      </c>
      <c r="G40" s="36"/>
      <c r="H40" s="37"/>
      <c r="I40" s="37"/>
      <c r="J40"/>
      <c r="K40"/>
    </row>
    <row r="41" spans="1:11" s="24" customFormat="1" ht="12.75">
      <c r="A41" s="20" t="s">
        <v>99</v>
      </c>
      <c r="B41" s="20" t="s">
        <v>129</v>
      </c>
      <c r="C41" s="54" t="s">
        <v>130</v>
      </c>
      <c r="D41" s="18">
        <v>30</v>
      </c>
      <c r="E41" s="32">
        <f>D41*0.7</f>
        <v>21</v>
      </c>
      <c r="F41" s="36">
        <v>21</v>
      </c>
      <c r="G41" s="36"/>
      <c r="H41" s="37"/>
      <c r="I41" s="37"/>
      <c r="J41"/>
      <c r="K41"/>
    </row>
    <row r="42" spans="1:11" s="24" customFormat="1" ht="12.75">
      <c r="A42" s="20" t="s">
        <v>102</v>
      </c>
      <c r="B42" s="20" t="s">
        <v>131</v>
      </c>
      <c r="C42" s="54" t="s">
        <v>132</v>
      </c>
      <c r="D42" s="18">
        <v>25</v>
      </c>
      <c r="E42" s="32">
        <f>D42*3</f>
        <v>75</v>
      </c>
      <c r="F42" s="36"/>
      <c r="G42" s="36"/>
      <c r="H42" s="36">
        <f>E42/2</f>
        <v>37.5</v>
      </c>
      <c r="I42" s="37">
        <v>37.5</v>
      </c>
      <c r="J42"/>
      <c r="K42"/>
    </row>
    <row r="43" spans="1:11" s="24" customFormat="1" ht="12.75">
      <c r="A43" s="55" t="s">
        <v>103</v>
      </c>
      <c r="B43" s="21" t="s">
        <v>133</v>
      </c>
      <c r="C43" s="22" t="s">
        <v>61</v>
      </c>
      <c r="D43" s="18">
        <f>6*40</f>
        <v>240</v>
      </c>
      <c r="E43" s="32">
        <f>D43*15*12/1000</f>
        <v>43.2</v>
      </c>
      <c r="F43" s="36">
        <f>E43/4</f>
        <v>10.8</v>
      </c>
      <c r="G43" s="36">
        <v>10.8</v>
      </c>
      <c r="H43" s="37">
        <v>10.8</v>
      </c>
      <c r="I43" s="37">
        <v>10.8</v>
      </c>
      <c r="J43"/>
      <c r="K43"/>
    </row>
    <row r="44" spans="1:11" s="24" customFormat="1" ht="12.75">
      <c r="A44" s="142" t="s">
        <v>145</v>
      </c>
      <c r="B44" s="140"/>
      <c r="C44" s="140"/>
      <c r="D44" s="141"/>
      <c r="E44" s="40">
        <f>SUM(E20:E43)</f>
        <v>206.95999999999998</v>
      </c>
      <c r="F44" s="41">
        <f>SUM(F20:F43)</f>
        <v>50.959999999999994</v>
      </c>
      <c r="G44" s="41">
        <f>SUM(G20:G43)</f>
        <v>34.900000000000006</v>
      </c>
      <c r="H44" s="42">
        <f>SUM(H20:H43)</f>
        <v>57.400000000000006</v>
      </c>
      <c r="I44" s="42">
        <f>SUM(I20:I43)</f>
        <v>63.7</v>
      </c>
      <c r="J44" s="71">
        <f>F44+G44+H44+I44</f>
        <v>206.95999999999998</v>
      </c>
      <c r="K44" s="43"/>
    </row>
    <row r="45" spans="1:9" s="24" customFormat="1" ht="12.75">
      <c r="A45" s="147" t="s">
        <v>55</v>
      </c>
      <c r="B45" s="148"/>
      <c r="C45" s="148"/>
      <c r="D45" s="149"/>
      <c r="E45" s="39"/>
      <c r="F45" s="36"/>
      <c r="G45" s="36"/>
      <c r="H45" s="37"/>
      <c r="I45" s="37"/>
    </row>
    <row r="46" spans="1:9" s="24" customFormat="1" ht="12.75">
      <c r="A46" s="53" t="s">
        <v>7</v>
      </c>
      <c r="B46" s="56" t="s">
        <v>8</v>
      </c>
      <c r="C46" s="20"/>
      <c r="D46" s="18"/>
      <c r="E46" s="32"/>
      <c r="F46" s="36"/>
      <c r="G46" s="36"/>
      <c r="H46" s="37"/>
      <c r="I46" s="37"/>
    </row>
    <row r="47" spans="1:9" s="24" customFormat="1" ht="12.75">
      <c r="A47" s="20" t="s">
        <v>9</v>
      </c>
      <c r="B47" s="20" t="s">
        <v>56</v>
      </c>
      <c r="C47" s="20"/>
      <c r="D47" s="18"/>
      <c r="E47" s="32"/>
      <c r="F47" s="36"/>
      <c r="G47" s="36"/>
      <c r="H47" s="37"/>
      <c r="I47" s="37"/>
    </row>
    <row r="48" spans="1:9" s="24" customFormat="1" ht="12.75">
      <c r="A48" s="20"/>
      <c r="B48" s="20" t="s">
        <v>57</v>
      </c>
      <c r="C48" s="58" t="s">
        <v>187</v>
      </c>
      <c r="D48" s="18">
        <v>5</v>
      </c>
      <c r="E48" s="32">
        <f>D48*1.1</f>
        <v>5.5</v>
      </c>
      <c r="F48" s="36">
        <f>E48/4</f>
        <v>1.375</v>
      </c>
      <c r="G48" s="36">
        <v>1.38</v>
      </c>
      <c r="H48" s="37">
        <v>1.38</v>
      </c>
      <c r="I48" s="36">
        <f>E48-F48-G48-H48</f>
        <v>1.3650000000000002</v>
      </c>
    </row>
    <row r="49" spans="1:9" s="24" customFormat="1" ht="40.5" customHeight="1">
      <c r="A49" s="20"/>
      <c r="B49" s="20" t="s">
        <v>58</v>
      </c>
      <c r="C49" s="22" t="s">
        <v>59</v>
      </c>
      <c r="D49" s="18">
        <v>1</v>
      </c>
      <c r="E49" s="32">
        <f>D49*0.4</f>
        <v>0.4</v>
      </c>
      <c r="F49" s="36">
        <f>E49/4</f>
        <v>0.1</v>
      </c>
      <c r="G49" s="36">
        <v>0.1</v>
      </c>
      <c r="H49" s="37">
        <v>0.1</v>
      </c>
      <c r="I49" s="36">
        <f>E49-F49-G49-H49</f>
        <v>0.10000000000000003</v>
      </c>
    </row>
    <row r="50" spans="1:9" s="24" customFormat="1" ht="12.75">
      <c r="A50" s="20" t="s">
        <v>12</v>
      </c>
      <c r="B50" s="21" t="s">
        <v>60</v>
      </c>
      <c r="C50" s="22" t="s">
        <v>61</v>
      </c>
      <c r="D50" s="18">
        <v>120</v>
      </c>
      <c r="E50" s="32">
        <f>0.1*D50</f>
        <v>12</v>
      </c>
      <c r="F50" s="36">
        <f>E50/4</f>
        <v>3</v>
      </c>
      <c r="G50" s="36">
        <v>3</v>
      </c>
      <c r="H50" s="37">
        <v>3</v>
      </c>
      <c r="I50" s="36">
        <f>E50-F50-G50-H50</f>
        <v>3</v>
      </c>
    </row>
    <row r="51" spans="1:9" s="24" customFormat="1" ht="12.75">
      <c r="A51" s="20" t="s">
        <v>15</v>
      </c>
      <c r="B51" s="21" t="s">
        <v>62</v>
      </c>
      <c r="C51" s="22"/>
      <c r="D51" s="18"/>
      <c r="E51" s="32"/>
      <c r="F51" s="36"/>
      <c r="G51" s="36"/>
      <c r="H51" s="37"/>
      <c r="I51" s="37"/>
    </row>
    <row r="52" spans="1:11" s="24" customFormat="1" ht="12.75">
      <c r="A52" s="20"/>
      <c r="B52" s="20" t="s">
        <v>57</v>
      </c>
      <c r="C52" s="58" t="s">
        <v>187</v>
      </c>
      <c r="D52" s="18">
        <v>4.5</v>
      </c>
      <c r="E52" s="32">
        <f>D52*0.9</f>
        <v>4.05</v>
      </c>
      <c r="F52" s="36">
        <f>E52/4</f>
        <v>1.0125</v>
      </c>
      <c r="G52" s="36">
        <v>1.01</v>
      </c>
      <c r="H52" s="37">
        <v>1.01</v>
      </c>
      <c r="I52" s="36">
        <f>E52-F52-G52-H52</f>
        <v>1.0174999999999998</v>
      </c>
      <c r="J52"/>
      <c r="K52"/>
    </row>
    <row r="53" spans="1:9" s="24" customFormat="1" ht="25.5" customHeight="1">
      <c r="A53" s="20"/>
      <c r="B53" s="20" t="s">
        <v>63</v>
      </c>
      <c r="C53" s="22" t="s">
        <v>136</v>
      </c>
      <c r="D53" s="18">
        <v>40</v>
      </c>
      <c r="E53" s="32">
        <f>D53*0.01</f>
        <v>0.4</v>
      </c>
      <c r="F53" s="36">
        <f>E53/4</f>
        <v>0.1</v>
      </c>
      <c r="G53" s="36">
        <v>0.1</v>
      </c>
      <c r="H53" s="37">
        <v>0.1</v>
      </c>
      <c r="I53" s="36">
        <f>E53-F53-G53-H53</f>
        <v>0.10000000000000003</v>
      </c>
    </row>
    <row r="54" spans="1:9" s="24" customFormat="1" ht="12.75">
      <c r="A54" s="20"/>
      <c r="B54" s="57" t="s">
        <v>158</v>
      </c>
      <c r="C54" s="22" t="s">
        <v>64</v>
      </c>
      <c r="D54" s="18"/>
      <c r="E54" s="32"/>
      <c r="F54" s="36"/>
      <c r="G54" s="36"/>
      <c r="H54" s="37"/>
      <c r="I54" s="37"/>
    </row>
    <row r="55" spans="1:9" s="24" customFormat="1" ht="12.75">
      <c r="A55" s="20" t="s">
        <v>17</v>
      </c>
      <c r="B55" s="20" t="s">
        <v>65</v>
      </c>
      <c r="C55" s="22" t="s">
        <v>66</v>
      </c>
      <c r="D55" s="18">
        <v>150</v>
      </c>
      <c r="E55" s="32">
        <f>D55*0.025</f>
        <v>3.75</v>
      </c>
      <c r="F55" s="36">
        <f aca="true" t="shared" si="0" ref="F55:F60">E55/4</f>
        <v>0.9375</v>
      </c>
      <c r="G55" s="36">
        <v>0.94</v>
      </c>
      <c r="H55" s="37">
        <v>0.94</v>
      </c>
      <c r="I55" s="36">
        <v>0.94</v>
      </c>
    </row>
    <row r="56" spans="1:9" s="24" customFormat="1" ht="12.75">
      <c r="A56" s="20" t="s">
        <v>19</v>
      </c>
      <c r="B56" s="20" t="s">
        <v>67</v>
      </c>
      <c r="C56" s="22" t="s">
        <v>68</v>
      </c>
      <c r="D56" s="18">
        <v>25</v>
      </c>
      <c r="E56" s="32">
        <f>D56*0.04</f>
        <v>1</v>
      </c>
      <c r="F56" s="36">
        <f t="shared" si="0"/>
        <v>0.25</v>
      </c>
      <c r="G56" s="36">
        <v>0.25</v>
      </c>
      <c r="H56" s="37">
        <v>0.25</v>
      </c>
      <c r="I56" s="36">
        <f>E56-F56-G56-H56</f>
        <v>0.25</v>
      </c>
    </row>
    <row r="57" spans="1:9" s="24" customFormat="1" ht="12.75">
      <c r="A57" s="20" t="s">
        <v>21</v>
      </c>
      <c r="B57" s="20" t="s">
        <v>69</v>
      </c>
      <c r="C57" s="22" t="s">
        <v>87</v>
      </c>
      <c r="D57" s="18">
        <v>400</v>
      </c>
      <c r="E57" s="32">
        <f>D57*0.068</f>
        <v>27.200000000000003</v>
      </c>
      <c r="F57" s="36">
        <f t="shared" si="0"/>
        <v>6.800000000000001</v>
      </c>
      <c r="G57" s="36">
        <v>6.8</v>
      </c>
      <c r="H57" s="37">
        <v>6.8</v>
      </c>
      <c r="I57" s="36">
        <v>6.8</v>
      </c>
    </row>
    <row r="58" spans="1:9" s="24" customFormat="1" ht="25.5">
      <c r="A58" s="46" t="s">
        <v>23</v>
      </c>
      <c r="B58" s="21" t="s">
        <v>71</v>
      </c>
      <c r="C58" s="22" t="s">
        <v>72</v>
      </c>
      <c r="D58" s="18">
        <v>50</v>
      </c>
      <c r="E58" s="32">
        <f>D58*0.05</f>
        <v>2.5</v>
      </c>
      <c r="F58" s="36">
        <f t="shared" si="0"/>
        <v>0.625</v>
      </c>
      <c r="G58" s="36">
        <v>0.63</v>
      </c>
      <c r="H58" s="37">
        <v>0.63</v>
      </c>
      <c r="I58" s="36">
        <f>E58-F58-G58-H58</f>
        <v>0.6150000000000001</v>
      </c>
    </row>
    <row r="59" spans="1:9" s="24" customFormat="1" ht="12.75">
      <c r="A59" s="20" t="s">
        <v>73</v>
      </c>
      <c r="B59" s="20" t="s">
        <v>74</v>
      </c>
      <c r="C59" s="22" t="s">
        <v>75</v>
      </c>
      <c r="D59" s="18">
        <v>15</v>
      </c>
      <c r="E59" s="32">
        <f>D59*0.1</f>
        <v>1.5</v>
      </c>
      <c r="F59" s="36">
        <f t="shared" si="0"/>
        <v>0.375</v>
      </c>
      <c r="G59" s="36">
        <v>0.38</v>
      </c>
      <c r="H59" s="37">
        <v>0.38</v>
      </c>
      <c r="I59" s="36">
        <f>E59-F59-G59-H59</f>
        <v>0.365</v>
      </c>
    </row>
    <row r="60" spans="1:9" s="24" customFormat="1" ht="12.75">
      <c r="A60" s="20" t="s">
        <v>26</v>
      </c>
      <c r="B60" s="21" t="s">
        <v>77</v>
      </c>
      <c r="C60" s="22" t="s">
        <v>68</v>
      </c>
      <c r="D60" s="18">
        <v>50</v>
      </c>
      <c r="E60" s="32">
        <f>D60*0.032</f>
        <v>1.6</v>
      </c>
      <c r="F60" s="36">
        <f t="shared" si="0"/>
        <v>0.4</v>
      </c>
      <c r="G60" s="36">
        <v>0.4</v>
      </c>
      <c r="H60" s="37">
        <v>0.4</v>
      </c>
      <c r="I60" s="36">
        <f>E60-F60-G60-H60</f>
        <v>0.40000000000000013</v>
      </c>
    </row>
    <row r="61" spans="1:9" s="24" customFormat="1" ht="12.75">
      <c r="A61" s="20" t="s">
        <v>28</v>
      </c>
      <c r="B61" s="21" t="s">
        <v>79</v>
      </c>
      <c r="C61" s="22" t="s">
        <v>80</v>
      </c>
      <c r="D61" s="18"/>
      <c r="E61" s="32"/>
      <c r="F61" s="36"/>
      <c r="G61" s="36"/>
      <c r="H61" s="37"/>
      <c r="I61" s="37"/>
    </row>
    <row r="62" spans="1:9" s="24" customFormat="1" ht="12.75">
      <c r="A62" s="20" t="s">
        <v>70</v>
      </c>
      <c r="B62" s="21" t="s">
        <v>82</v>
      </c>
      <c r="C62" s="22" t="s">
        <v>83</v>
      </c>
      <c r="D62" s="18">
        <v>150</v>
      </c>
      <c r="E62" s="32">
        <f>D62*0.02</f>
        <v>3</v>
      </c>
      <c r="F62" s="36">
        <f aca="true" t="shared" si="1" ref="F62:F68">E62/4</f>
        <v>0.75</v>
      </c>
      <c r="G62" s="36">
        <v>0.75</v>
      </c>
      <c r="H62" s="37">
        <v>0.75</v>
      </c>
      <c r="I62" s="36">
        <v>0.75</v>
      </c>
    </row>
    <row r="63" spans="1:9" s="24" customFormat="1" ht="12.75">
      <c r="A63" s="20" t="s">
        <v>73</v>
      </c>
      <c r="B63" s="21" t="s">
        <v>154</v>
      </c>
      <c r="C63" s="22" t="s">
        <v>144</v>
      </c>
      <c r="D63" s="18">
        <v>50</v>
      </c>
      <c r="E63" s="32">
        <f>D63*0.128</f>
        <v>6.4</v>
      </c>
      <c r="F63" s="36">
        <f t="shared" si="1"/>
        <v>1.6</v>
      </c>
      <c r="G63" s="36">
        <v>1.6</v>
      </c>
      <c r="H63" s="37">
        <v>1.6</v>
      </c>
      <c r="I63" s="36">
        <v>1.6</v>
      </c>
    </row>
    <row r="64" spans="1:9" s="24" customFormat="1" ht="12.75">
      <c r="A64" s="20" t="s">
        <v>76</v>
      </c>
      <c r="B64" s="21" t="s">
        <v>155</v>
      </c>
      <c r="C64" s="22" t="s">
        <v>144</v>
      </c>
      <c r="D64" s="18">
        <v>50</v>
      </c>
      <c r="E64" s="32">
        <f>D64*0.152</f>
        <v>7.6</v>
      </c>
      <c r="F64" s="36">
        <f t="shared" si="1"/>
        <v>1.9</v>
      </c>
      <c r="G64" s="36">
        <v>1.9</v>
      </c>
      <c r="H64" s="37">
        <v>1.9</v>
      </c>
      <c r="I64" s="36">
        <v>1.9</v>
      </c>
    </row>
    <row r="65" spans="1:9" s="24" customFormat="1" ht="25.5">
      <c r="A65" s="46" t="s">
        <v>78</v>
      </c>
      <c r="B65" s="21" t="s">
        <v>84</v>
      </c>
      <c r="C65" s="22" t="s">
        <v>85</v>
      </c>
      <c r="D65" s="18">
        <v>5</v>
      </c>
      <c r="E65" s="32">
        <f>D65*0.1</f>
        <v>0.5</v>
      </c>
      <c r="F65" s="36">
        <f t="shared" si="1"/>
        <v>0.125</v>
      </c>
      <c r="G65" s="36">
        <v>0.13</v>
      </c>
      <c r="H65" s="37">
        <v>0.13</v>
      </c>
      <c r="I65" s="36">
        <f>E65-F65-G65-H65</f>
        <v>0.11499999999999999</v>
      </c>
    </row>
    <row r="66" spans="1:9" s="24" customFormat="1" ht="12.75">
      <c r="A66" s="46" t="s">
        <v>81</v>
      </c>
      <c r="B66" s="21" t="s">
        <v>86</v>
      </c>
      <c r="C66" s="22" t="s">
        <v>87</v>
      </c>
      <c r="D66" s="18">
        <v>30</v>
      </c>
      <c r="E66" s="32">
        <f>D66*0.03</f>
        <v>0.8999999999999999</v>
      </c>
      <c r="F66" s="36">
        <f t="shared" si="1"/>
        <v>0.22499999999999998</v>
      </c>
      <c r="G66" s="36">
        <v>0.23</v>
      </c>
      <c r="H66" s="37">
        <v>0.23</v>
      </c>
      <c r="I66" s="36">
        <f>E66-F66-G66-H66</f>
        <v>0.21499999999999994</v>
      </c>
    </row>
    <row r="67" spans="1:9" s="24" customFormat="1" ht="12.75">
      <c r="A67" s="46" t="s">
        <v>156</v>
      </c>
      <c r="B67" s="21" t="s">
        <v>88</v>
      </c>
      <c r="C67" s="22" t="s">
        <v>89</v>
      </c>
      <c r="D67" s="18">
        <v>70</v>
      </c>
      <c r="E67" s="32">
        <f>D67*0.02</f>
        <v>1.4000000000000001</v>
      </c>
      <c r="F67" s="36">
        <f t="shared" si="1"/>
        <v>0.35000000000000003</v>
      </c>
      <c r="G67" s="36">
        <v>0.35</v>
      </c>
      <c r="H67" s="37">
        <v>0.35</v>
      </c>
      <c r="I67" s="36">
        <f>E67-F67-G67-H67</f>
        <v>0.3500000000000001</v>
      </c>
    </row>
    <row r="68" spans="1:9" s="24" customFormat="1" ht="12.75">
      <c r="A68" s="46" t="s">
        <v>157</v>
      </c>
      <c r="B68" s="37" t="s">
        <v>143</v>
      </c>
      <c r="C68" s="78" t="s">
        <v>144</v>
      </c>
      <c r="D68" s="37">
        <v>200</v>
      </c>
      <c r="E68" s="37">
        <f>D68*0.18</f>
        <v>36</v>
      </c>
      <c r="F68" s="36">
        <f t="shared" si="1"/>
        <v>9</v>
      </c>
      <c r="G68" s="36">
        <v>9</v>
      </c>
      <c r="H68" s="36">
        <v>9</v>
      </c>
      <c r="I68" s="36">
        <v>9</v>
      </c>
    </row>
    <row r="69" spans="1:9" s="24" customFormat="1" ht="12.75">
      <c r="A69" s="20" t="s">
        <v>31</v>
      </c>
      <c r="B69" s="137" t="s">
        <v>32</v>
      </c>
      <c r="C69" s="138"/>
      <c r="D69" s="138"/>
      <c r="E69" s="26"/>
      <c r="F69" s="36"/>
      <c r="G69" s="36"/>
      <c r="H69" s="37"/>
      <c r="I69" s="37"/>
    </row>
    <row r="70" spans="1:9" s="24" customFormat="1" ht="25.5">
      <c r="A70" s="20" t="s">
        <v>33</v>
      </c>
      <c r="B70" s="21" t="s">
        <v>90</v>
      </c>
      <c r="C70" s="22" t="s">
        <v>91</v>
      </c>
      <c r="D70" s="18">
        <v>54.51</v>
      </c>
      <c r="E70" s="32">
        <f>D70*0.2</f>
        <v>10.902000000000001</v>
      </c>
      <c r="F70" s="36"/>
      <c r="G70" s="36">
        <v>10.9</v>
      </c>
      <c r="H70" s="37"/>
      <c r="I70" s="37"/>
    </row>
    <row r="71" spans="1:9" s="24" customFormat="1" ht="12.75">
      <c r="A71" s="20" t="s">
        <v>39</v>
      </c>
      <c r="B71" s="137" t="s">
        <v>32</v>
      </c>
      <c r="C71" s="138"/>
      <c r="D71" s="138"/>
      <c r="E71" s="26"/>
      <c r="F71" s="36"/>
      <c r="G71" s="36"/>
      <c r="H71" s="37"/>
      <c r="I71" s="37"/>
    </row>
    <row r="72" spans="1:9" s="24" customFormat="1" ht="12.75">
      <c r="A72" s="20" t="s">
        <v>40</v>
      </c>
      <c r="B72" s="21" t="s">
        <v>92</v>
      </c>
      <c r="C72" s="22" t="s">
        <v>93</v>
      </c>
      <c r="D72" s="18">
        <v>3</v>
      </c>
      <c r="E72" s="32">
        <f>D72*0.95</f>
        <v>2.8499999999999996</v>
      </c>
      <c r="F72" s="36"/>
      <c r="G72" s="36">
        <f>E72/2</f>
        <v>1.4249999999999998</v>
      </c>
      <c r="H72" s="37">
        <v>1.43</v>
      </c>
      <c r="I72" s="37"/>
    </row>
    <row r="73" spans="1:9" s="24" customFormat="1" ht="12.75">
      <c r="A73" s="20" t="s">
        <v>41</v>
      </c>
      <c r="B73" s="21" t="s">
        <v>94</v>
      </c>
      <c r="C73" s="22" t="s">
        <v>95</v>
      </c>
      <c r="D73" s="18"/>
      <c r="E73" s="32"/>
      <c r="F73" s="36"/>
      <c r="G73" s="36"/>
      <c r="H73" s="37"/>
      <c r="I73" s="37"/>
    </row>
    <row r="74" spans="1:9" s="24" customFormat="1" ht="12.75">
      <c r="A74" s="20" t="s">
        <v>47</v>
      </c>
      <c r="B74" s="21" t="s">
        <v>96</v>
      </c>
      <c r="C74" s="22" t="s">
        <v>97</v>
      </c>
      <c r="D74" s="18">
        <v>529.27</v>
      </c>
      <c r="E74" s="32">
        <f>D74*0.0976</f>
        <v>51.656752000000004</v>
      </c>
      <c r="F74" s="36"/>
      <c r="G74" s="36">
        <v>51.76</v>
      </c>
      <c r="H74" s="37"/>
      <c r="I74" s="37"/>
    </row>
    <row r="75" spans="1:9" s="24" customFormat="1" ht="25.5">
      <c r="A75" s="20" t="s">
        <v>52</v>
      </c>
      <c r="B75" s="21" t="s">
        <v>98</v>
      </c>
      <c r="C75" s="22" t="s">
        <v>91</v>
      </c>
      <c r="D75" s="18">
        <v>54.51</v>
      </c>
      <c r="E75" s="32">
        <f>D75*0.874</f>
        <v>47.64174</v>
      </c>
      <c r="F75" s="36"/>
      <c r="G75" s="36">
        <v>47.64</v>
      </c>
      <c r="H75" s="37"/>
      <c r="I75" s="37"/>
    </row>
    <row r="76" spans="1:9" s="24" customFormat="1" ht="12.75">
      <c r="A76" s="20" t="s">
        <v>99</v>
      </c>
      <c r="B76" s="21" t="s">
        <v>100</v>
      </c>
      <c r="C76" s="22" t="s">
        <v>101</v>
      </c>
      <c r="D76" s="18">
        <v>300</v>
      </c>
      <c r="E76" s="32">
        <f>D76*0.1</f>
        <v>30</v>
      </c>
      <c r="F76" s="36">
        <f>E76/3</f>
        <v>10</v>
      </c>
      <c r="G76" s="36"/>
      <c r="H76" s="37">
        <v>6</v>
      </c>
      <c r="I76" s="36">
        <f>E76-F76-H76</f>
        <v>14</v>
      </c>
    </row>
    <row r="77" spans="1:9" s="24" customFormat="1" ht="12.75">
      <c r="A77" s="20" t="s">
        <v>102</v>
      </c>
      <c r="B77" s="21" t="s">
        <v>134</v>
      </c>
      <c r="C77" s="22" t="s">
        <v>130</v>
      </c>
      <c r="D77" s="18">
        <v>12</v>
      </c>
      <c r="E77" s="32">
        <f>D77*0.85</f>
        <v>10.2</v>
      </c>
      <c r="F77" s="36">
        <f>E77/3</f>
        <v>3.4</v>
      </c>
      <c r="G77" s="36"/>
      <c r="H77" s="37">
        <v>3.4</v>
      </c>
      <c r="I77" s="36">
        <v>3.4</v>
      </c>
    </row>
    <row r="78" spans="1:9" s="24" customFormat="1" ht="12.75">
      <c r="A78" s="20" t="s">
        <v>103</v>
      </c>
      <c r="B78" s="57"/>
      <c r="C78" s="58" t="s">
        <v>130</v>
      </c>
      <c r="D78" s="18"/>
      <c r="E78" s="32"/>
      <c r="F78" s="36"/>
      <c r="G78" s="36"/>
      <c r="H78" s="37"/>
      <c r="I78" s="37"/>
    </row>
    <row r="79" spans="1:11" s="24" customFormat="1" ht="12.75">
      <c r="A79" s="142" t="s">
        <v>146</v>
      </c>
      <c r="B79" s="140"/>
      <c r="C79" s="140"/>
      <c r="D79" s="141"/>
      <c r="E79" s="40">
        <f>SUM(E48:E78)</f>
        <v>268.950492</v>
      </c>
      <c r="F79" s="41">
        <f>SUM(F47:F78)</f>
        <v>42.324999999999996</v>
      </c>
      <c r="G79" s="41">
        <f>SUM(G47:G78)</f>
        <v>140.675</v>
      </c>
      <c r="H79" s="42">
        <f>SUM(H47:H78)</f>
        <v>39.779999999999994</v>
      </c>
      <c r="I79" s="41">
        <f>SUM(I47:I78)</f>
        <v>46.28249999999999</v>
      </c>
      <c r="J79" s="72">
        <f>F79+G79+H79+I79</f>
        <v>269.0625</v>
      </c>
      <c r="K79" s="68"/>
    </row>
    <row r="80" spans="1:11" ht="12.75">
      <c r="A80" s="51" t="s">
        <v>104</v>
      </c>
      <c r="B80" s="39"/>
      <c r="C80" s="39"/>
      <c r="D80" s="39"/>
      <c r="E80" s="33"/>
      <c r="F80" s="36"/>
      <c r="G80" s="36"/>
      <c r="H80" s="37"/>
      <c r="I80" s="37"/>
      <c r="J80" s="24"/>
      <c r="K80" s="24"/>
    </row>
    <row r="81" spans="1:11" ht="12.75">
      <c r="A81" s="53" t="s">
        <v>7</v>
      </c>
      <c r="B81" s="56" t="s">
        <v>105</v>
      </c>
      <c r="C81" s="22"/>
      <c r="D81" s="18"/>
      <c r="E81" s="32"/>
      <c r="F81" s="36"/>
      <c r="G81" s="36"/>
      <c r="H81" s="37"/>
      <c r="I81" s="37"/>
      <c r="J81" s="24"/>
      <c r="K81" s="24"/>
    </row>
    <row r="82" spans="1:11" ht="12.75">
      <c r="A82" s="20" t="s">
        <v>9</v>
      </c>
      <c r="B82" s="20" t="s">
        <v>106</v>
      </c>
      <c r="C82" s="22" t="s">
        <v>107</v>
      </c>
      <c r="D82" s="18">
        <v>3600</v>
      </c>
      <c r="E82" s="32">
        <v>91.045</v>
      </c>
      <c r="F82" s="36">
        <f>E82/4</f>
        <v>22.76125</v>
      </c>
      <c r="G82" s="36">
        <v>22.76</v>
      </c>
      <c r="H82" s="37">
        <v>22.76</v>
      </c>
      <c r="I82" s="37">
        <v>22.76</v>
      </c>
      <c r="J82" s="23">
        <f>F82+G82+H82+I82</f>
        <v>91.04125</v>
      </c>
      <c r="K82" s="24"/>
    </row>
    <row r="83" spans="1:11" ht="12.75">
      <c r="A83" s="20" t="s">
        <v>12</v>
      </c>
      <c r="B83" s="21" t="s">
        <v>108</v>
      </c>
      <c r="C83" s="22" t="s">
        <v>109</v>
      </c>
      <c r="D83" s="18"/>
      <c r="E83" s="32"/>
      <c r="F83" s="36"/>
      <c r="G83" s="36"/>
      <c r="H83" s="37"/>
      <c r="I83" s="37"/>
      <c r="J83" s="24"/>
      <c r="K83" s="24"/>
    </row>
    <row r="84" spans="1:11" ht="12.75">
      <c r="A84" s="20" t="s">
        <v>15</v>
      </c>
      <c r="B84" s="21" t="s">
        <v>110</v>
      </c>
      <c r="C84" s="22" t="s">
        <v>107</v>
      </c>
      <c r="D84" s="18">
        <v>1700</v>
      </c>
      <c r="E84" s="32">
        <v>20</v>
      </c>
      <c r="F84" s="36"/>
      <c r="G84" s="36">
        <v>10</v>
      </c>
      <c r="H84" s="37">
        <v>10</v>
      </c>
      <c r="I84" s="37"/>
      <c r="J84" s="24"/>
      <c r="K84" s="24"/>
    </row>
    <row r="85" spans="1:11" ht="12.75">
      <c r="A85" s="20" t="s">
        <v>31</v>
      </c>
      <c r="B85" s="56" t="s">
        <v>111</v>
      </c>
      <c r="C85" s="22"/>
      <c r="D85" s="18"/>
      <c r="E85" s="32"/>
      <c r="F85" s="36"/>
      <c r="G85" s="36"/>
      <c r="H85" s="37"/>
      <c r="I85" s="37"/>
      <c r="J85" s="24"/>
      <c r="K85" s="24"/>
    </row>
    <row r="86" spans="1:11" ht="27.75" customHeight="1">
      <c r="A86" s="20"/>
      <c r="B86" s="21" t="s">
        <v>112</v>
      </c>
      <c r="C86" s="22" t="s">
        <v>113</v>
      </c>
      <c r="D86" s="18"/>
      <c r="E86" s="32"/>
      <c r="F86" s="36"/>
      <c r="G86" s="36"/>
      <c r="H86" s="37"/>
      <c r="I86" s="37"/>
      <c r="J86" s="24"/>
      <c r="K86" s="24"/>
    </row>
    <row r="87" spans="1:12" ht="24.75" customHeight="1">
      <c r="A87" s="20"/>
      <c r="B87" s="21" t="s">
        <v>114</v>
      </c>
      <c r="C87" s="22" t="s">
        <v>113</v>
      </c>
      <c r="D87" s="18">
        <v>1920</v>
      </c>
      <c r="E87" s="32">
        <f>1*6*12</f>
        <v>72</v>
      </c>
      <c r="F87" s="36">
        <f>E87/4</f>
        <v>18</v>
      </c>
      <c r="G87" s="36">
        <v>18</v>
      </c>
      <c r="H87" s="37">
        <v>18</v>
      </c>
      <c r="I87" s="36">
        <v>18</v>
      </c>
      <c r="J87" s="24"/>
      <c r="K87" s="23"/>
      <c r="L87" s="13"/>
    </row>
    <row r="88" spans="1:11" ht="12.75">
      <c r="A88" s="139" t="s">
        <v>147</v>
      </c>
      <c r="B88" s="140"/>
      <c r="C88" s="140"/>
      <c r="D88" s="141"/>
      <c r="E88" s="40">
        <f>SUM(E82:E87)</f>
        <v>183.04500000000002</v>
      </c>
      <c r="F88" s="41">
        <f>SUM(F82:F87)</f>
        <v>40.761250000000004</v>
      </c>
      <c r="G88" s="41">
        <f>SUM(G82:G87)</f>
        <v>50.760000000000005</v>
      </c>
      <c r="H88" s="42">
        <f>SUM(H82:H87)</f>
        <v>50.760000000000005</v>
      </c>
      <c r="I88" s="41">
        <f>SUM(I82:I87)</f>
        <v>40.760000000000005</v>
      </c>
      <c r="J88" s="72">
        <f>F88+G88+H88+I88</f>
        <v>183.04125</v>
      </c>
      <c r="K88" s="68"/>
    </row>
    <row r="89" spans="1:11" ht="12.75">
      <c r="A89" s="136" t="s">
        <v>115</v>
      </c>
      <c r="B89" s="136"/>
      <c r="C89" s="136"/>
      <c r="D89" s="136"/>
      <c r="E89" s="34"/>
      <c r="F89" s="36"/>
      <c r="G89" s="36"/>
      <c r="H89" s="37"/>
      <c r="I89" s="37"/>
      <c r="J89" s="24"/>
      <c r="K89" s="24"/>
    </row>
    <row r="90" spans="1:11" ht="12.75">
      <c r="A90" s="59">
        <v>1</v>
      </c>
      <c r="B90" s="53" t="s">
        <v>180</v>
      </c>
      <c r="C90" s="60" t="s">
        <v>127</v>
      </c>
      <c r="D90" s="52">
        <v>12274.1</v>
      </c>
      <c r="E90" s="35">
        <f>D90*0.59*12/1000</f>
        <v>86.900628</v>
      </c>
      <c r="F90" s="36">
        <f>E90/4</f>
        <v>21.725157</v>
      </c>
      <c r="G90" s="36">
        <v>21.73</v>
      </c>
      <c r="H90" s="37">
        <v>21.73</v>
      </c>
      <c r="I90" s="36">
        <f>E90-F90-G90-H90</f>
        <v>21.715470999999997</v>
      </c>
      <c r="J90" s="24"/>
      <c r="K90" s="24"/>
    </row>
    <row r="91" spans="1:12" ht="12.75">
      <c r="A91" s="59">
        <v>2</v>
      </c>
      <c r="B91" s="53" t="s">
        <v>116</v>
      </c>
      <c r="C91" s="60" t="s">
        <v>117</v>
      </c>
      <c r="D91" s="52">
        <v>2200</v>
      </c>
      <c r="E91" s="31">
        <f>D91*1.4*2/1000</f>
        <v>6.16</v>
      </c>
      <c r="F91" s="36"/>
      <c r="G91" s="36">
        <f>E91/2</f>
        <v>3.08</v>
      </c>
      <c r="H91" s="37">
        <v>3.08</v>
      </c>
      <c r="I91" s="37"/>
      <c r="J91" s="24"/>
      <c r="K91" s="24"/>
      <c r="L91">
        <f>1530/4*6</f>
        <v>2295</v>
      </c>
    </row>
    <row r="92" spans="1:11" ht="25.5">
      <c r="A92" s="59">
        <v>3</v>
      </c>
      <c r="B92" s="61" t="s">
        <v>128</v>
      </c>
      <c r="C92" s="60"/>
      <c r="D92" s="52"/>
      <c r="E92" s="35">
        <f>50-8.51</f>
        <v>41.49</v>
      </c>
      <c r="F92" s="36">
        <f>E92/4</f>
        <v>10.3725</v>
      </c>
      <c r="G92" s="36">
        <v>10.37</v>
      </c>
      <c r="H92" s="37">
        <v>10.37</v>
      </c>
      <c r="I92" s="36">
        <v>10.37</v>
      </c>
      <c r="J92" s="24"/>
      <c r="K92" s="24"/>
    </row>
    <row r="93" spans="1:11" ht="12.75">
      <c r="A93" s="59">
        <v>4</v>
      </c>
      <c r="B93" s="62" t="s">
        <v>191</v>
      </c>
      <c r="C93" s="80">
        <v>0.149</v>
      </c>
      <c r="D93" s="52"/>
      <c r="E93" s="31">
        <v>117.411</v>
      </c>
      <c r="F93" s="36">
        <f>E93/4</f>
        <v>29.35275</v>
      </c>
      <c r="G93" s="36">
        <v>22.25</v>
      </c>
      <c r="H93" s="37">
        <v>22.25</v>
      </c>
      <c r="I93" s="36">
        <f>E93-F93-G93-H93</f>
        <v>43.55825</v>
      </c>
      <c r="J93" s="23"/>
      <c r="K93" s="24"/>
    </row>
    <row r="94" spans="1:11" ht="12.75">
      <c r="A94" s="142" t="s">
        <v>149</v>
      </c>
      <c r="B94" s="140"/>
      <c r="C94" s="140"/>
      <c r="D94" s="141"/>
      <c r="E94" s="40">
        <f>SUM(E90:E93)</f>
        <v>251.961628</v>
      </c>
      <c r="F94" s="41">
        <f>SUM(F90:F93)</f>
        <v>61.450407</v>
      </c>
      <c r="G94" s="41">
        <f>SUM(G90:G93)</f>
        <v>57.43</v>
      </c>
      <c r="H94" s="42">
        <f>SUM(H90:H93)</f>
        <v>57.43</v>
      </c>
      <c r="I94" s="41">
        <f>SUM(I90:I93)</f>
        <v>75.643721</v>
      </c>
      <c r="J94" s="72">
        <f>F94+G94+H94+I94</f>
        <v>251.954128</v>
      </c>
      <c r="K94" s="68"/>
    </row>
    <row r="95" spans="1:11" ht="12.75">
      <c r="A95" s="139" t="s">
        <v>150</v>
      </c>
      <c r="B95" s="140"/>
      <c r="C95" s="140"/>
      <c r="D95" s="141"/>
      <c r="E95" s="40">
        <f>E44+E79+E88+E94</f>
        <v>910.9171200000001</v>
      </c>
      <c r="F95" s="41">
        <f>F44+F79+F88+F94</f>
        <v>195.49665699999997</v>
      </c>
      <c r="G95" s="41">
        <f>G44+G79+G88+G94</f>
        <v>283.76500000000004</v>
      </c>
      <c r="H95" s="41">
        <f>H44+H79+H88+H94</f>
        <v>205.37</v>
      </c>
      <c r="I95" s="41">
        <f>I44+I79+I88+I94</f>
        <v>226.386221</v>
      </c>
      <c r="J95" s="24">
        <f>793.506+117.41</f>
        <v>910.9159999999999</v>
      </c>
      <c r="K95" s="23">
        <f>J95-E95</f>
        <v>-0.0011200000001281296</v>
      </c>
    </row>
    <row r="96" spans="1:11" ht="12.75">
      <c r="A96" s="121" t="s">
        <v>151</v>
      </c>
      <c r="B96" s="122"/>
      <c r="C96" s="122"/>
      <c r="D96" s="122"/>
      <c r="E96" s="123"/>
      <c r="F96" s="36"/>
      <c r="G96" s="36"/>
      <c r="H96" s="37"/>
      <c r="I96" s="37"/>
      <c r="J96" s="24"/>
      <c r="K96" s="24"/>
    </row>
    <row r="97" spans="1:11" ht="25.5">
      <c r="A97" s="150">
        <v>1</v>
      </c>
      <c r="B97" s="63" t="s">
        <v>182</v>
      </c>
      <c r="C97" s="94" t="s">
        <v>107</v>
      </c>
      <c r="D97" s="52">
        <v>12274.1</v>
      </c>
      <c r="E97" s="31">
        <f>(D97*2.32*10/1000)+(4100*2*6/1000)</f>
        <v>333.95912</v>
      </c>
      <c r="F97" s="36">
        <f>E97/4</f>
        <v>83.48978</v>
      </c>
      <c r="G97" s="36">
        <v>83.49</v>
      </c>
      <c r="H97" s="37">
        <v>83.49</v>
      </c>
      <c r="I97" s="36">
        <v>83.49</v>
      </c>
      <c r="J97" s="24"/>
      <c r="K97" s="24"/>
    </row>
    <row r="98" spans="1:11" ht="12.75">
      <c r="A98" s="151"/>
      <c r="B98" s="62" t="s">
        <v>183</v>
      </c>
      <c r="C98" s="66"/>
      <c r="D98" s="52"/>
      <c r="E98" s="31">
        <v>38.75</v>
      </c>
      <c r="F98" s="36">
        <f>E98/4</f>
        <v>9.6875</v>
      </c>
      <c r="G98" s="36">
        <v>9.69</v>
      </c>
      <c r="H98" s="37">
        <v>9.69</v>
      </c>
      <c r="I98" s="36">
        <v>9.69</v>
      </c>
      <c r="J98" s="24"/>
      <c r="K98" s="24"/>
    </row>
    <row r="99" spans="1:11" s="43" customFormat="1" ht="14.25" customHeight="1">
      <c r="A99" s="152"/>
      <c r="B99" s="82" t="s">
        <v>184</v>
      </c>
      <c r="C99" s="81"/>
      <c r="D99" s="41"/>
      <c r="E99" s="40">
        <f>SUM(E97:E98)</f>
        <v>372.70912</v>
      </c>
      <c r="F99" s="41">
        <f>SUM(F97:F98)</f>
        <v>93.17728</v>
      </c>
      <c r="G99" s="41">
        <f>SUM(G97:G98)</f>
        <v>93.17999999999999</v>
      </c>
      <c r="H99" s="42">
        <f>SUM(H97:H98)</f>
        <v>93.17999999999999</v>
      </c>
      <c r="I99" s="41">
        <f>SUM(I97:I98)</f>
        <v>93.17999999999999</v>
      </c>
      <c r="J99" s="72">
        <f>F99+G99+H99+I99</f>
        <v>372.71728</v>
      </c>
      <c r="K99" s="68"/>
    </row>
    <row r="100" spans="1:11" ht="15" customHeight="1">
      <c r="A100" s="150">
        <v>2</v>
      </c>
      <c r="B100" s="62" t="s">
        <v>188</v>
      </c>
      <c r="C100" s="66" t="s">
        <v>107</v>
      </c>
      <c r="D100" s="52">
        <v>12274.1</v>
      </c>
      <c r="E100" s="31">
        <f>D100*1.62*12/1000</f>
        <v>238.608504</v>
      </c>
      <c r="F100" s="36">
        <f>E100/4</f>
        <v>59.652126</v>
      </c>
      <c r="G100" s="36">
        <v>59.65</v>
      </c>
      <c r="H100" s="37">
        <v>59.65</v>
      </c>
      <c r="I100" s="36">
        <v>59.65</v>
      </c>
      <c r="J100" s="23"/>
      <c r="K100" s="24"/>
    </row>
    <row r="101" spans="1:11" ht="12.75">
      <c r="A101" s="151"/>
      <c r="B101" s="62" t="s">
        <v>183</v>
      </c>
      <c r="C101" s="66"/>
      <c r="D101" s="52"/>
      <c r="E101" s="31">
        <v>7.36</v>
      </c>
      <c r="F101" s="36">
        <f>E101/4</f>
        <v>1.84</v>
      </c>
      <c r="G101" s="36">
        <v>1.84</v>
      </c>
      <c r="H101" s="37">
        <v>1.84</v>
      </c>
      <c r="I101" s="36">
        <v>1.84</v>
      </c>
      <c r="J101" s="24"/>
      <c r="K101" s="24"/>
    </row>
    <row r="102" spans="1:11" s="43" customFormat="1" ht="12.75">
      <c r="A102" s="152"/>
      <c r="B102" s="82" t="s">
        <v>189</v>
      </c>
      <c r="C102" s="81"/>
      <c r="D102" s="41"/>
      <c r="E102" s="40">
        <f>SUM(E100:E101)</f>
        <v>245.96850400000002</v>
      </c>
      <c r="F102" s="41">
        <f>SUM(F100:F101)</f>
        <v>61.492126000000006</v>
      </c>
      <c r="G102" s="41">
        <f>SUM(G100:G101)</f>
        <v>61.49</v>
      </c>
      <c r="H102" s="42">
        <f>SUM(H100:H101)</f>
        <v>61.49</v>
      </c>
      <c r="I102" s="41">
        <f>SUM(I100:I101)</f>
        <v>61.49</v>
      </c>
      <c r="J102" s="72">
        <f>F102+G102+H102+I102</f>
        <v>245.962126</v>
      </c>
      <c r="K102" s="68"/>
    </row>
    <row r="103" spans="1:11" ht="25.5">
      <c r="A103" s="150">
        <v>3</v>
      </c>
      <c r="B103" s="62" t="s">
        <v>185</v>
      </c>
      <c r="C103" s="60" t="s">
        <v>107</v>
      </c>
      <c r="D103" s="52"/>
      <c r="E103" s="31">
        <v>0</v>
      </c>
      <c r="F103" s="36">
        <f>SUM(E103)</f>
        <v>0</v>
      </c>
      <c r="G103" s="36">
        <v>0</v>
      </c>
      <c r="H103" s="37">
        <v>0</v>
      </c>
      <c r="I103" s="36">
        <f>SUM(G103:H103)</f>
        <v>0</v>
      </c>
      <c r="J103" s="24"/>
      <c r="K103" s="24"/>
    </row>
    <row r="104" spans="1:11" ht="13.5" customHeight="1">
      <c r="A104" s="151"/>
      <c r="B104" s="63" t="s">
        <v>183</v>
      </c>
      <c r="C104" s="60"/>
      <c r="D104" s="52"/>
      <c r="E104" s="31">
        <f>SUM(A104:D106)</f>
        <v>0</v>
      </c>
      <c r="F104" s="36">
        <f>SUM(E104)</f>
        <v>0</v>
      </c>
      <c r="G104" s="36">
        <v>0</v>
      </c>
      <c r="H104" s="37">
        <v>0</v>
      </c>
      <c r="I104" s="36">
        <f>SUM(G104:H104)</f>
        <v>0</v>
      </c>
      <c r="J104" s="24"/>
      <c r="K104" s="24"/>
    </row>
    <row r="105" spans="1:11" s="43" customFormat="1" ht="25.5">
      <c r="A105" s="152"/>
      <c r="B105" s="83" t="s">
        <v>186</v>
      </c>
      <c r="C105" s="84"/>
      <c r="D105" s="41"/>
      <c r="E105" s="40">
        <f>SUM(A105:D107)</f>
        <v>0</v>
      </c>
      <c r="F105" s="41">
        <f>SUM(E105)</f>
        <v>0</v>
      </c>
      <c r="G105" s="41">
        <f>SUM(G103:G104)</f>
        <v>0</v>
      </c>
      <c r="H105" s="42">
        <f>SUM(H103:H104)</f>
        <v>0</v>
      </c>
      <c r="I105" s="41">
        <f>SUM(I103:I104)</f>
        <v>0</v>
      </c>
      <c r="J105" s="68"/>
      <c r="K105" s="68"/>
    </row>
    <row r="106" spans="1:11" ht="12.75" customHeight="1">
      <c r="A106" s="126" t="s">
        <v>152</v>
      </c>
      <c r="B106" s="119"/>
      <c r="C106" s="119"/>
      <c r="D106" s="119"/>
      <c r="E106" s="64">
        <f>E99+E102+E105</f>
        <v>618.677624</v>
      </c>
      <c r="F106" s="64">
        <f>F99+F102+F105</f>
        <v>154.669406</v>
      </c>
      <c r="G106" s="64">
        <f>G99+G102+G105</f>
        <v>154.67</v>
      </c>
      <c r="H106" s="64">
        <f>H99+H102+H105</f>
        <v>154.67</v>
      </c>
      <c r="I106" s="64">
        <f>I99+I102+I105</f>
        <v>154.67</v>
      </c>
      <c r="J106" s="23">
        <f>F106+G106+H106+I106</f>
        <v>618.679406</v>
      </c>
      <c r="K106" s="24"/>
    </row>
    <row r="107" spans="1:11" ht="15.75">
      <c r="A107" s="145" t="s">
        <v>153</v>
      </c>
      <c r="B107" s="146"/>
      <c r="C107" s="146"/>
      <c r="D107" s="146"/>
      <c r="E107" s="65">
        <f>E95+E106</f>
        <v>1529.594744</v>
      </c>
      <c r="F107" s="65">
        <f>F95+F106</f>
        <v>350.166063</v>
      </c>
      <c r="G107" s="65">
        <f>G95+G106</f>
        <v>438.43500000000006</v>
      </c>
      <c r="H107" s="65">
        <f>H95+H106</f>
        <v>360.03999999999996</v>
      </c>
      <c r="I107" s="65">
        <f>I95+I106</f>
        <v>381.056221</v>
      </c>
      <c r="J107" s="23">
        <f>F107+G107+H107+I107</f>
        <v>1529.697284</v>
      </c>
      <c r="K107" s="24"/>
    </row>
    <row r="108" spans="1:11" ht="12.75">
      <c r="A108" s="124" t="s">
        <v>118</v>
      </c>
      <c r="B108" s="124"/>
      <c r="C108" s="124"/>
      <c r="D108" s="124"/>
      <c r="E108" s="125"/>
      <c r="F108" s="36"/>
      <c r="G108" s="36"/>
      <c r="H108" s="37"/>
      <c r="I108" s="37"/>
      <c r="J108" s="24"/>
      <c r="K108" s="24"/>
    </row>
    <row r="109" spans="1:11" ht="12.75">
      <c r="A109" s="53" t="s">
        <v>7</v>
      </c>
      <c r="B109" s="53" t="s">
        <v>119</v>
      </c>
      <c r="C109" s="66" t="s">
        <v>120</v>
      </c>
      <c r="D109" s="52">
        <v>110.69</v>
      </c>
      <c r="E109" s="31"/>
      <c r="F109" s="36"/>
      <c r="G109" s="36"/>
      <c r="H109" s="37"/>
      <c r="I109" s="37"/>
      <c r="J109" s="24"/>
      <c r="K109" s="24"/>
    </row>
    <row r="110" spans="1:11" ht="12.75">
      <c r="A110" s="53" t="s">
        <v>31</v>
      </c>
      <c r="B110" s="53" t="s">
        <v>121</v>
      </c>
      <c r="C110" s="66" t="s">
        <v>122</v>
      </c>
      <c r="D110" s="52">
        <f>12+4</f>
        <v>16</v>
      </c>
      <c r="E110" s="31"/>
      <c r="F110" s="36"/>
      <c r="G110" s="36"/>
      <c r="H110" s="37"/>
      <c r="I110" s="37"/>
      <c r="J110" s="24"/>
      <c r="K110" s="24"/>
    </row>
    <row r="111" spans="1:9" ht="12.75">
      <c r="A111" s="53" t="s">
        <v>39</v>
      </c>
      <c r="B111" s="53" t="s">
        <v>123</v>
      </c>
      <c r="C111" s="66" t="s">
        <v>122</v>
      </c>
      <c r="D111" s="52">
        <f>396+160+120+144+153+153+63+40+196+220+60+60+60+80</f>
        <v>1905</v>
      </c>
      <c r="E111" s="31"/>
      <c r="F111" s="36"/>
      <c r="G111" s="36"/>
      <c r="H111" s="37"/>
      <c r="I111" s="37"/>
    </row>
    <row r="112" spans="1:7" ht="12.75">
      <c r="A112" s="67"/>
      <c r="B112" s="67"/>
      <c r="C112" s="67"/>
      <c r="D112" s="25"/>
      <c r="E112" s="25"/>
      <c r="F112" s="23"/>
      <c r="G112" s="23"/>
    </row>
    <row r="113" spans="1:7" ht="12.75">
      <c r="A113" s="67"/>
      <c r="B113" s="67" t="s">
        <v>124</v>
      </c>
      <c r="C113" s="162" t="s">
        <v>176</v>
      </c>
      <c r="D113" s="163"/>
      <c r="E113" s="163"/>
      <c r="F113" s="23"/>
      <c r="G113" s="23"/>
    </row>
    <row r="114" spans="1:7" ht="12.75">
      <c r="A114" s="67"/>
      <c r="B114" s="67"/>
      <c r="C114" s="67"/>
      <c r="D114" s="25"/>
      <c r="E114" s="25"/>
      <c r="F114" s="23"/>
      <c r="G114" s="23"/>
    </row>
    <row r="115" spans="2:7" ht="12.75">
      <c r="B115" s="95" t="s">
        <v>197</v>
      </c>
      <c r="C115" s="24" t="s">
        <v>224</v>
      </c>
      <c r="D115" s="23"/>
      <c r="E115" s="23"/>
      <c r="F115" s="23"/>
      <c r="G115" s="23"/>
    </row>
  </sheetData>
  <mergeCells count="35">
    <mergeCell ref="E2:I2"/>
    <mergeCell ref="E3:I3"/>
    <mergeCell ref="E4:I4"/>
    <mergeCell ref="E5:I5"/>
    <mergeCell ref="A16:A17"/>
    <mergeCell ref="B16:B17"/>
    <mergeCell ref="C16:C17"/>
    <mergeCell ref="D16:E16"/>
    <mergeCell ref="F16:F17"/>
    <mergeCell ref="G16:G17"/>
    <mergeCell ref="H16:H17"/>
    <mergeCell ref="I16:I17"/>
    <mergeCell ref="A89:D89"/>
    <mergeCell ref="A94:D94"/>
    <mergeCell ref="B19:E19"/>
    <mergeCell ref="B29:D29"/>
    <mergeCell ref="B32:D32"/>
    <mergeCell ref="A108:E108"/>
    <mergeCell ref="C113:E113"/>
    <mergeCell ref="A95:D95"/>
    <mergeCell ref="A96:E96"/>
    <mergeCell ref="A106:D106"/>
    <mergeCell ref="A97:A99"/>
    <mergeCell ref="A103:A105"/>
    <mergeCell ref="A100:A102"/>
    <mergeCell ref="A9:I9"/>
    <mergeCell ref="A11:I11"/>
    <mergeCell ref="A107:D107"/>
    <mergeCell ref="A44:D44"/>
    <mergeCell ref="A45:D45"/>
    <mergeCell ref="B69:D69"/>
    <mergeCell ref="B71:D71"/>
    <mergeCell ref="A79:D79"/>
    <mergeCell ref="A88:D88"/>
    <mergeCell ref="B10:I10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K111"/>
  <sheetViews>
    <sheetView workbookViewId="0" topLeftCell="A1">
      <selection activeCell="A8" sqref="A8:I8"/>
    </sheetView>
  </sheetViews>
  <sheetFormatPr defaultColWidth="9.00390625" defaultRowHeight="12.75"/>
  <cols>
    <col min="1" max="1" width="4.875" style="0" customWidth="1"/>
    <col min="2" max="2" width="59.625" style="0" customWidth="1"/>
    <col min="3" max="3" width="22.25390625" style="0" customWidth="1"/>
    <col min="5" max="5" width="10.75390625" style="24" bestFit="1" customWidth="1"/>
    <col min="6" max="6" width="7.625" style="24" customWidth="1"/>
    <col min="7" max="7" width="7.75390625" style="24" customWidth="1"/>
    <col min="8" max="8" width="8.125" style="24" customWidth="1"/>
    <col min="9" max="9" width="7.625" style="24" customWidth="1"/>
  </cols>
  <sheetData>
    <row r="1" spans="1:4" ht="12.75">
      <c r="A1" s="24"/>
      <c r="B1" s="24"/>
      <c r="C1" s="24"/>
      <c r="D1" s="24"/>
    </row>
    <row r="2" spans="1:9" ht="12.75">
      <c r="A2" s="24"/>
      <c r="B2" s="107" t="s">
        <v>219</v>
      </c>
      <c r="C2" s="24"/>
      <c r="D2" s="24"/>
      <c r="E2" s="173" t="s">
        <v>159</v>
      </c>
      <c r="F2" s="173"/>
      <c r="G2" s="173"/>
      <c r="H2" s="173"/>
      <c r="I2" s="173"/>
    </row>
    <row r="3" spans="1:9" ht="12.75">
      <c r="A3" s="24"/>
      <c r="B3" s="24" t="s">
        <v>204</v>
      </c>
      <c r="C3" s="24"/>
      <c r="D3" s="24"/>
      <c r="E3" s="173" t="s">
        <v>192</v>
      </c>
      <c r="F3" s="173"/>
      <c r="G3" s="173"/>
      <c r="H3" s="173"/>
      <c r="I3" s="173"/>
    </row>
    <row r="4" spans="1:9" ht="12.75">
      <c r="A4" s="24"/>
      <c r="B4" s="24" t="s">
        <v>213</v>
      </c>
      <c r="C4" s="24"/>
      <c r="D4" s="24"/>
      <c r="E4" s="173" t="s">
        <v>160</v>
      </c>
      <c r="F4" s="173"/>
      <c r="G4" s="173"/>
      <c r="H4" s="173"/>
      <c r="I4" s="173"/>
    </row>
    <row r="5" spans="1:9" ht="12.75">
      <c r="A5" s="24"/>
      <c r="B5" s="24"/>
      <c r="C5" s="24"/>
      <c r="D5" s="24"/>
      <c r="E5" s="174" t="s">
        <v>193</v>
      </c>
      <c r="F5" s="173"/>
      <c r="G5" s="173"/>
      <c r="H5" s="173"/>
      <c r="I5" s="173"/>
    </row>
    <row r="6" spans="1:9" ht="12.75">
      <c r="A6" s="24"/>
      <c r="B6" s="24"/>
      <c r="C6" s="24"/>
      <c r="D6" s="24"/>
      <c r="E6" s="173" t="s">
        <v>177</v>
      </c>
      <c r="F6" s="173"/>
      <c r="G6" s="173"/>
      <c r="H6" s="173"/>
      <c r="I6" s="173"/>
    </row>
    <row r="7" spans="1:4" ht="12.75">
      <c r="A7" s="24"/>
      <c r="B7" s="24"/>
      <c r="C7" s="24"/>
      <c r="D7" s="24"/>
    </row>
    <row r="8" spans="1:9" ht="12.75">
      <c r="A8" s="158" t="s">
        <v>125</v>
      </c>
      <c r="B8" s="158"/>
      <c r="C8" s="158"/>
      <c r="D8" s="158"/>
      <c r="E8" s="158"/>
      <c r="F8" s="158"/>
      <c r="G8" s="158"/>
      <c r="H8" s="158"/>
      <c r="I8" s="158"/>
    </row>
    <row r="9" spans="1:9" ht="12.75">
      <c r="A9" s="158" t="s">
        <v>161</v>
      </c>
      <c r="B9" s="158"/>
      <c r="C9" s="158"/>
      <c r="D9" s="158"/>
      <c r="E9" s="158"/>
      <c r="F9" s="158"/>
      <c r="G9" s="158"/>
      <c r="H9" s="158"/>
      <c r="I9" s="158"/>
    </row>
    <row r="10" spans="1:9" ht="12.75">
      <c r="A10" s="70"/>
      <c r="B10" s="2"/>
      <c r="C10" s="2"/>
      <c r="D10" s="2"/>
      <c r="E10" s="2"/>
      <c r="F10" s="75"/>
      <c r="G10" s="2"/>
      <c r="H10" s="2"/>
      <c r="I10" s="2"/>
    </row>
    <row r="11" spans="1:9" ht="12.75">
      <c r="A11" s="160" t="s">
        <v>178</v>
      </c>
      <c r="B11" s="160"/>
      <c r="C11" s="160"/>
      <c r="D11" s="160"/>
      <c r="E11" s="160"/>
      <c r="F11" s="160"/>
      <c r="G11" s="160"/>
      <c r="H11" s="160"/>
      <c r="I11" s="160"/>
    </row>
    <row r="12" spans="1:7" ht="12.75">
      <c r="A12" s="48"/>
      <c r="B12" s="47"/>
      <c r="C12" s="47"/>
      <c r="D12" s="47"/>
      <c r="E12" s="47"/>
      <c r="F12" s="23"/>
      <c r="G12" s="23"/>
    </row>
    <row r="13" spans="1:9" ht="12.75">
      <c r="A13" s="131" t="s">
        <v>0</v>
      </c>
      <c r="B13" s="131" t="s">
        <v>1</v>
      </c>
      <c r="C13" s="131" t="s">
        <v>2</v>
      </c>
      <c r="D13" s="132" t="s">
        <v>3</v>
      </c>
      <c r="E13" s="133"/>
      <c r="F13" s="166" t="s">
        <v>139</v>
      </c>
      <c r="G13" s="166" t="s">
        <v>140</v>
      </c>
      <c r="H13" s="168" t="s">
        <v>141</v>
      </c>
      <c r="I13" s="168" t="s">
        <v>142</v>
      </c>
    </row>
    <row r="14" spans="1:9" ht="38.25">
      <c r="A14" s="131"/>
      <c r="B14" s="131"/>
      <c r="C14" s="131"/>
      <c r="D14" s="17" t="s">
        <v>4</v>
      </c>
      <c r="E14" s="30" t="s">
        <v>5</v>
      </c>
      <c r="F14" s="167"/>
      <c r="G14" s="167"/>
      <c r="H14" s="169"/>
      <c r="I14" s="169"/>
    </row>
    <row r="15" spans="1:9" ht="12.75">
      <c r="A15" s="51" t="s">
        <v>6</v>
      </c>
      <c r="B15" s="51"/>
      <c r="C15" s="39"/>
      <c r="D15" s="52"/>
      <c r="E15" s="31"/>
      <c r="F15" s="36"/>
      <c r="G15" s="36"/>
      <c r="H15" s="37"/>
      <c r="I15" s="37"/>
    </row>
    <row r="16" spans="1:9" ht="12.75">
      <c r="A16" s="5" t="s">
        <v>7</v>
      </c>
      <c r="B16" s="129" t="s">
        <v>8</v>
      </c>
      <c r="C16" s="129"/>
      <c r="D16" s="129"/>
      <c r="E16" s="130"/>
      <c r="F16" s="36"/>
      <c r="G16" s="36"/>
      <c r="H16" s="37"/>
      <c r="I16" s="37"/>
    </row>
    <row r="17" spans="1:9" ht="12.75">
      <c r="A17" s="6" t="s">
        <v>9</v>
      </c>
      <c r="B17" s="6" t="s">
        <v>10</v>
      </c>
      <c r="C17" s="7" t="s">
        <v>11</v>
      </c>
      <c r="D17" s="18">
        <v>1</v>
      </c>
      <c r="E17" s="32">
        <f>D17*0.7</f>
        <v>0.7</v>
      </c>
      <c r="F17" s="36"/>
      <c r="G17" s="36">
        <f>E17/2</f>
        <v>0.35</v>
      </c>
      <c r="H17" s="37">
        <v>0.35</v>
      </c>
      <c r="I17" s="37"/>
    </row>
    <row r="18" spans="1:9" ht="12.75" customHeight="1">
      <c r="A18" s="6" t="s">
        <v>12</v>
      </c>
      <c r="B18" s="8" t="s">
        <v>13</v>
      </c>
      <c r="C18" s="7" t="s">
        <v>14</v>
      </c>
      <c r="D18" s="18"/>
      <c r="E18" s="32"/>
      <c r="F18" s="36"/>
      <c r="G18" s="36"/>
      <c r="H18" s="37"/>
      <c r="I18" s="37"/>
    </row>
    <row r="19" spans="1:9" s="24" customFormat="1" ht="13.5" customHeight="1">
      <c r="A19" s="20" t="s">
        <v>15</v>
      </c>
      <c r="B19" s="21" t="s">
        <v>16</v>
      </c>
      <c r="C19" s="22" t="s">
        <v>14</v>
      </c>
      <c r="D19" s="18">
        <v>4.34</v>
      </c>
      <c r="E19" s="32">
        <f>D19*0.4</f>
        <v>1.736</v>
      </c>
      <c r="F19" s="36"/>
      <c r="G19" s="36">
        <f>E19/2</f>
        <v>0.868</v>
      </c>
      <c r="H19" s="36">
        <v>0.87</v>
      </c>
      <c r="I19" s="37"/>
    </row>
    <row r="20" spans="1:9" ht="27" customHeight="1">
      <c r="A20" s="6" t="s">
        <v>17</v>
      </c>
      <c r="B20" s="8" t="s">
        <v>18</v>
      </c>
      <c r="C20" s="7" t="s">
        <v>14</v>
      </c>
      <c r="D20" s="18">
        <v>4.34</v>
      </c>
      <c r="E20" s="32">
        <f>D20*0.4</f>
        <v>1.736</v>
      </c>
      <c r="F20" s="36"/>
      <c r="G20" s="36">
        <f>E20/2</f>
        <v>0.868</v>
      </c>
      <c r="H20" s="37">
        <v>0.87</v>
      </c>
      <c r="I20" s="37"/>
    </row>
    <row r="21" spans="1:9" ht="25.5">
      <c r="A21" s="6" t="s">
        <v>19</v>
      </c>
      <c r="B21" s="8" t="s">
        <v>20</v>
      </c>
      <c r="C21" s="7" t="s">
        <v>14</v>
      </c>
      <c r="D21" s="18">
        <v>4.34</v>
      </c>
      <c r="E21" s="32">
        <f>D21*0.3</f>
        <v>1.3019999999999998</v>
      </c>
      <c r="F21" s="36"/>
      <c r="G21" s="36">
        <f>E21/2</f>
        <v>0.6509999999999999</v>
      </c>
      <c r="H21" s="36">
        <f>E21-G21</f>
        <v>0.6509999999999999</v>
      </c>
      <c r="I21" s="37"/>
    </row>
    <row r="22" spans="1:9" ht="15" customHeight="1">
      <c r="A22" s="6" t="s">
        <v>21</v>
      </c>
      <c r="B22" s="8" t="s">
        <v>22</v>
      </c>
      <c r="C22" s="7" t="s">
        <v>14</v>
      </c>
      <c r="D22" s="18">
        <v>4.34</v>
      </c>
      <c r="E22" s="32">
        <f>D22*0.4</f>
        <v>1.736</v>
      </c>
      <c r="F22" s="36"/>
      <c r="G22" s="36">
        <f>E22/2</f>
        <v>0.868</v>
      </c>
      <c r="H22" s="37">
        <v>0.87</v>
      </c>
      <c r="I22" s="37"/>
    </row>
    <row r="23" spans="1:9" ht="12.75">
      <c r="A23" s="6" t="s">
        <v>23</v>
      </c>
      <c r="B23" s="6" t="s">
        <v>24</v>
      </c>
      <c r="C23" s="7" t="s">
        <v>25</v>
      </c>
      <c r="D23" s="18"/>
      <c r="E23" s="32"/>
      <c r="F23" s="36"/>
      <c r="G23" s="36"/>
      <c r="H23" s="37"/>
      <c r="I23" s="37"/>
    </row>
    <row r="24" spans="1:9" ht="27" customHeight="1">
      <c r="A24" s="6" t="s">
        <v>26</v>
      </c>
      <c r="B24" s="8" t="s">
        <v>27</v>
      </c>
      <c r="C24" s="7" t="s">
        <v>25</v>
      </c>
      <c r="D24" s="16"/>
      <c r="E24" s="32"/>
      <c r="F24" s="36"/>
      <c r="G24" s="36"/>
      <c r="H24" s="37"/>
      <c r="I24" s="37"/>
    </row>
    <row r="25" spans="1:11" s="24" customFormat="1" ht="30" customHeight="1">
      <c r="A25" s="20" t="s">
        <v>28</v>
      </c>
      <c r="B25" s="21" t="s">
        <v>29</v>
      </c>
      <c r="C25" s="22" t="s">
        <v>30</v>
      </c>
      <c r="D25" s="18"/>
      <c r="E25" s="32"/>
      <c r="F25" s="36"/>
      <c r="G25" s="36"/>
      <c r="H25" s="37"/>
      <c r="I25" s="37"/>
      <c r="J25"/>
      <c r="K25"/>
    </row>
    <row r="26" spans="1:11" s="24" customFormat="1" ht="12.75">
      <c r="A26" s="20" t="s">
        <v>31</v>
      </c>
      <c r="B26" s="137" t="s">
        <v>32</v>
      </c>
      <c r="C26" s="138"/>
      <c r="D26" s="138"/>
      <c r="E26" s="26"/>
      <c r="F26" s="36"/>
      <c r="G26" s="36"/>
      <c r="H26" s="37"/>
      <c r="I26" s="37"/>
      <c r="J26"/>
      <c r="K26"/>
    </row>
    <row r="27" spans="1:11" s="24" customFormat="1" ht="12.75">
      <c r="A27" s="20" t="s">
        <v>33</v>
      </c>
      <c r="B27" s="21" t="s">
        <v>34</v>
      </c>
      <c r="C27" s="54" t="s">
        <v>35</v>
      </c>
      <c r="D27" s="18"/>
      <c r="E27" s="32"/>
      <c r="F27" s="36"/>
      <c r="G27" s="36"/>
      <c r="H27" s="37"/>
      <c r="I27" s="37"/>
      <c r="J27"/>
      <c r="K27"/>
    </row>
    <row r="28" spans="1:11" s="24" customFormat="1" ht="12.75">
      <c r="A28" s="20" t="s">
        <v>36</v>
      </c>
      <c r="B28" s="20" t="s">
        <v>37</v>
      </c>
      <c r="C28" s="54" t="s">
        <v>38</v>
      </c>
      <c r="D28" s="18"/>
      <c r="E28" s="32"/>
      <c r="F28" s="36"/>
      <c r="G28" s="36"/>
      <c r="H28" s="37"/>
      <c r="I28" s="37"/>
      <c r="J28"/>
      <c r="K28"/>
    </row>
    <row r="29" spans="1:11" s="24" customFormat="1" ht="12.75">
      <c r="A29" s="20" t="s">
        <v>39</v>
      </c>
      <c r="B29" s="137" t="s">
        <v>32</v>
      </c>
      <c r="C29" s="138"/>
      <c r="D29" s="138"/>
      <c r="E29" s="26"/>
      <c r="F29" s="36"/>
      <c r="G29" s="36"/>
      <c r="H29" s="37"/>
      <c r="I29" s="37"/>
      <c r="J29"/>
      <c r="K29"/>
    </row>
    <row r="30" spans="1:11" s="24" customFormat="1" ht="12.75" customHeight="1">
      <c r="A30" s="20" t="s">
        <v>40</v>
      </c>
      <c r="B30" s="46" t="s">
        <v>138</v>
      </c>
      <c r="C30" s="54" t="s">
        <v>38</v>
      </c>
      <c r="D30" s="18">
        <v>2</v>
      </c>
      <c r="E30" s="32">
        <f>D30*0.1</f>
        <v>0.2</v>
      </c>
      <c r="F30" s="36"/>
      <c r="G30" s="36">
        <v>0.2</v>
      </c>
      <c r="H30" s="37"/>
      <c r="I30" s="37"/>
      <c r="J30"/>
      <c r="K30"/>
    </row>
    <row r="31" spans="1:11" s="24" customFormat="1" ht="12.75">
      <c r="A31" s="20" t="s">
        <v>41</v>
      </c>
      <c r="B31" s="20" t="s">
        <v>42</v>
      </c>
      <c r="C31" s="54"/>
      <c r="D31" s="18"/>
      <c r="E31" s="32"/>
      <c r="F31" s="36"/>
      <c r="G31" s="36"/>
      <c r="H31" s="37"/>
      <c r="I31" s="37"/>
      <c r="J31"/>
      <c r="K31"/>
    </row>
    <row r="32" spans="1:11" s="24" customFormat="1" ht="12.75">
      <c r="A32" s="20"/>
      <c r="B32" s="20" t="s">
        <v>43</v>
      </c>
      <c r="C32" s="54" t="s">
        <v>44</v>
      </c>
      <c r="D32" s="18">
        <v>2</v>
      </c>
      <c r="E32" s="32">
        <f>D32*0.05</f>
        <v>0.1</v>
      </c>
      <c r="F32" s="36"/>
      <c r="G32" s="36"/>
      <c r="H32" s="37">
        <v>0.1</v>
      </c>
      <c r="I32" s="37"/>
      <c r="J32"/>
      <c r="K32"/>
    </row>
    <row r="33" spans="1:11" s="24" customFormat="1" ht="12.75">
      <c r="A33" s="20"/>
      <c r="B33" s="20" t="s">
        <v>45</v>
      </c>
      <c r="C33" s="54" t="s">
        <v>46</v>
      </c>
      <c r="D33" s="18"/>
      <c r="E33" s="32"/>
      <c r="F33" s="36"/>
      <c r="G33" s="36"/>
      <c r="H33" s="37"/>
      <c r="I33" s="37"/>
      <c r="J33"/>
      <c r="K33"/>
    </row>
    <row r="34" spans="1:11" s="24" customFormat="1" ht="12.75">
      <c r="A34" s="20" t="s">
        <v>47</v>
      </c>
      <c r="B34" s="20" t="s">
        <v>48</v>
      </c>
      <c r="C34" s="54"/>
      <c r="D34" s="18"/>
      <c r="E34" s="32"/>
      <c r="F34" s="36"/>
      <c r="G34" s="36"/>
      <c r="H34" s="37"/>
      <c r="I34" s="37"/>
      <c r="J34"/>
      <c r="K34"/>
    </row>
    <row r="35" spans="1:11" s="24" customFormat="1" ht="12.75">
      <c r="A35" s="20"/>
      <c r="B35" s="20" t="s">
        <v>49</v>
      </c>
      <c r="C35" s="54" t="s">
        <v>50</v>
      </c>
      <c r="D35" s="18"/>
      <c r="E35" s="32"/>
      <c r="F35" s="36"/>
      <c r="G35" s="36"/>
      <c r="H35" s="37"/>
      <c r="I35" s="37"/>
      <c r="J35"/>
      <c r="K35"/>
    </row>
    <row r="36" spans="1:11" s="24" customFormat="1" ht="12.75">
      <c r="A36" s="20"/>
      <c r="B36" s="20" t="s">
        <v>51</v>
      </c>
      <c r="C36" s="54" t="s">
        <v>50</v>
      </c>
      <c r="D36" s="18"/>
      <c r="E36" s="32"/>
      <c r="F36" s="36"/>
      <c r="G36" s="36"/>
      <c r="H36" s="37"/>
      <c r="I36" s="37"/>
      <c r="J36"/>
      <c r="K36"/>
    </row>
    <row r="37" spans="1:11" s="24" customFormat="1" ht="12.75">
      <c r="A37" s="20" t="s">
        <v>52</v>
      </c>
      <c r="B37" s="20" t="s">
        <v>53</v>
      </c>
      <c r="C37" s="54" t="s">
        <v>54</v>
      </c>
      <c r="D37" s="18">
        <v>500</v>
      </c>
      <c r="E37" s="32">
        <f>D37*0.0134</f>
        <v>6.7</v>
      </c>
      <c r="F37" s="36">
        <v>6.7</v>
      </c>
      <c r="G37" s="36"/>
      <c r="H37" s="37"/>
      <c r="I37" s="37"/>
      <c r="J37"/>
      <c r="K37"/>
    </row>
    <row r="38" spans="1:11" s="24" customFormat="1" ht="12.75">
      <c r="A38" s="20" t="s">
        <v>99</v>
      </c>
      <c r="B38" s="20" t="s">
        <v>129</v>
      </c>
      <c r="C38" s="54" t="s">
        <v>130</v>
      </c>
      <c r="D38" s="18">
        <v>5</v>
      </c>
      <c r="E38" s="32">
        <f>D38*0.7</f>
        <v>3.5</v>
      </c>
      <c r="F38" s="36">
        <v>3.5</v>
      </c>
      <c r="G38" s="36"/>
      <c r="H38" s="37"/>
      <c r="I38" s="37"/>
      <c r="J38"/>
      <c r="K38"/>
    </row>
    <row r="39" spans="1:11" s="24" customFormat="1" ht="12.75">
      <c r="A39" s="20" t="s">
        <v>102</v>
      </c>
      <c r="B39" s="20" t="s">
        <v>131</v>
      </c>
      <c r="C39" s="54" t="s">
        <v>132</v>
      </c>
      <c r="D39" s="18">
        <v>0</v>
      </c>
      <c r="E39" s="32">
        <v>0</v>
      </c>
      <c r="F39" s="36"/>
      <c r="G39" s="36"/>
      <c r="H39" s="37"/>
      <c r="I39" s="37"/>
      <c r="J39"/>
      <c r="K39"/>
    </row>
    <row r="40" spans="1:11" s="24" customFormat="1" ht="12.75">
      <c r="A40" s="55" t="s">
        <v>103</v>
      </c>
      <c r="B40" s="21" t="s">
        <v>133</v>
      </c>
      <c r="C40" s="22" t="s">
        <v>61</v>
      </c>
      <c r="D40" s="18">
        <v>60</v>
      </c>
      <c r="E40" s="32">
        <f>D40*15*12/1000</f>
        <v>10.8</v>
      </c>
      <c r="F40" s="36">
        <f>E40/4</f>
        <v>2.7</v>
      </c>
      <c r="G40" s="36">
        <v>2.7</v>
      </c>
      <c r="H40" s="37">
        <v>2.7</v>
      </c>
      <c r="I40" s="37">
        <v>2.7</v>
      </c>
      <c r="J40"/>
      <c r="K40"/>
    </row>
    <row r="41" spans="1:11" s="24" customFormat="1" ht="12.75">
      <c r="A41" s="142" t="s">
        <v>145</v>
      </c>
      <c r="B41" s="140"/>
      <c r="C41" s="140"/>
      <c r="D41" s="141"/>
      <c r="E41" s="40">
        <f>SUM(E17:E40)</f>
        <v>28.51</v>
      </c>
      <c r="F41" s="41">
        <f>SUM(F17:F40)</f>
        <v>12.899999999999999</v>
      </c>
      <c r="G41" s="41">
        <f>SUM(G17:G40)</f>
        <v>6.505</v>
      </c>
      <c r="H41" s="42">
        <f>SUM(H17:H40)</f>
        <v>6.411</v>
      </c>
      <c r="I41" s="42">
        <f>SUM(I17:I40)</f>
        <v>2.7</v>
      </c>
      <c r="J41" s="71"/>
      <c r="K41" s="43"/>
    </row>
    <row r="42" spans="1:9" s="24" customFormat="1" ht="12.75">
      <c r="A42" s="147" t="s">
        <v>55</v>
      </c>
      <c r="B42" s="148"/>
      <c r="C42" s="148"/>
      <c r="D42" s="149"/>
      <c r="E42" s="39"/>
      <c r="F42" s="36"/>
      <c r="G42" s="36"/>
      <c r="H42" s="37"/>
      <c r="I42" s="37"/>
    </row>
    <row r="43" spans="1:9" s="24" customFormat="1" ht="12.75" customHeight="1">
      <c r="A43" s="53" t="s">
        <v>7</v>
      </c>
      <c r="B43" s="56" t="s">
        <v>8</v>
      </c>
      <c r="C43" s="20"/>
      <c r="D43" s="18"/>
      <c r="E43" s="32"/>
      <c r="F43" s="36"/>
      <c r="G43" s="36"/>
      <c r="H43" s="37"/>
      <c r="I43" s="37"/>
    </row>
    <row r="44" spans="1:9" s="24" customFormat="1" ht="12.75">
      <c r="A44" s="20" t="s">
        <v>9</v>
      </c>
      <c r="B44" s="20" t="s">
        <v>56</v>
      </c>
      <c r="C44" s="20"/>
      <c r="D44" s="18"/>
      <c r="E44" s="32"/>
      <c r="F44" s="36"/>
      <c r="G44" s="36"/>
      <c r="H44" s="37"/>
      <c r="I44" s="37"/>
    </row>
    <row r="45" spans="1:9" s="24" customFormat="1" ht="15.75" customHeight="1">
      <c r="A45" s="20"/>
      <c r="B45" s="20" t="s">
        <v>57</v>
      </c>
      <c r="C45" s="22" t="s">
        <v>14</v>
      </c>
      <c r="D45" s="18">
        <v>1.8</v>
      </c>
      <c r="E45" s="32">
        <f>D45*1.1</f>
        <v>1.9800000000000002</v>
      </c>
      <c r="F45" s="36">
        <f>E45/4</f>
        <v>0.49500000000000005</v>
      </c>
      <c r="G45" s="36">
        <v>0.5</v>
      </c>
      <c r="H45" s="37">
        <v>0.5</v>
      </c>
      <c r="I45" s="36">
        <f>E45-F45-G45-H45</f>
        <v>0.4850000000000001</v>
      </c>
    </row>
    <row r="46" spans="1:9" s="24" customFormat="1" ht="30" customHeight="1">
      <c r="A46" s="20"/>
      <c r="B46" s="20" t="s">
        <v>58</v>
      </c>
      <c r="C46" s="22" t="s">
        <v>59</v>
      </c>
      <c r="D46" s="18">
        <v>0</v>
      </c>
      <c r="E46" s="32">
        <f>D46*0.4</f>
        <v>0</v>
      </c>
      <c r="F46" s="36"/>
      <c r="G46" s="36"/>
      <c r="H46" s="37"/>
      <c r="I46" s="37"/>
    </row>
    <row r="47" spans="1:9" s="24" customFormat="1" ht="19.5" customHeight="1">
      <c r="A47" s="20" t="s">
        <v>12</v>
      </c>
      <c r="B47" s="21" t="s">
        <v>60</v>
      </c>
      <c r="C47" s="22" t="s">
        <v>61</v>
      </c>
      <c r="D47" s="18">
        <v>30</v>
      </c>
      <c r="E47" s="32">
        <f>0.1*D47</f>
        <v>3</v>
      </c>
      <c r="F47" s="36">
        <f>E47/4</f>
        <v>0.75</v>
      </c>
      <c r="G47" s="36">
        <v>0.75</v>
      </c>
      <c r="H47" s="37">
        <v>0.75</v>
      </c>
      <c r="I47" s="36">
        <v>0.75</v>
      </c>
    </row>
    <row r="48" spans="1:9" s="24" customFormat="1" ht="25.5">
      <c r="A48" s="20" t="s">
        <v>15</v>
      </c>
      <c r="B48" s="21" t="s">
        <v>62</v>
      </c>
      <c r="C48" s="22"/>
      <c r="D48" s="18"/>
      <c r="E48" s="32"/>
      <c r="F48" s="36"/>
      <c r="G48" s="36"/>
      <c r="H48" s="37"/>
      <c r="I48" s="37"/>
    </row>
    <row r="49" spans="1:11" s="24" customFormat="1" ht="18" customHeight="1">
      <c r="A49" s="20"/>
      <c r="B49" s="20" t="s">
        <v>57</v>
      </c>
      <c r="C49" s="22" t="s">
        <v>14</v>
      </c>
      <c r="D49" s="18">
        <v>1.8</v>
      </c>
      <c r="E49" s="32">
        <f>D49*0.9</f>
        <v>1.62</v>
      </c>
      <c r="F49" s="36">
        <f>E49/4</f>
        <v>0.405</v>
      </c>
      <c r="G49" s="36">
        <v>0.41</v>
      </c>
      <c r="H49" s="37">
        <v>0.41</v>
      </c>
      <c r="I49" s="36">
        <f>E49-F49-G49-H49</f>
        <v>0.3950000000000002</v>
      </c>
      <c r="J49"/>
      <c r="K49"/>
    </row>
    <row r="50" spans="1:9" s="24" customFormat="1" ht="15" customHeight="1">
      <c r="A50" s="20"/>
      <c r="B50" s="20" t="s">
        <v>63</v>
      </c>
      <c r="C50" s="22" t="s">
        <v>136</v>
      </c>
      <c r="D50" s="18">
        <v>10</v>
      </c>
      <c r="E50" s="32">
        <f>D50*0.01</f>
        <v>0.1</v>
      </c>
      <c r="F50" s="36"/>
      <c r="G50" s="36">
        <v>0.1</v>
      </c>
      <c r="H50" s="37"/>
      <c r="I50" s="37"/>
    </row>
    <row r="51" spans="1:9" s="24" customFormat="1" ht="15.75" customHeight="1">
      <c r="A51" s="20"/>
      <c r="B51" s="57" t="s">
        <v>158</v>
      </c>
      <c r="C51" s="22" t="s">
        <v>64</v>
      </c>
      <c r="D51" s="18"/>
      <c r="E51" s="32"/>
      <c r="F51" s="36"/>
      <c r="G51" s="36"/>
      <c r="H51" s="37"/>
      <c r="I51" s="37"/>
    </row>
    <row r="52" spans="1:9" s="24" customFormat="1" ht="12.75">
      <c r="A52" s="20" t="s">
        <v>17</v>
      </c>
      <c r="B52" s="20" t="s">
        <v>65</v>
      </c>
      <c r="C52" s="22" t="s">
        <v>66</v>
      </c>
      <c r="D52" s="18">
        <v>25</v>
      </c>
      <c r="E52" s="32">
        <f>D52*0.025</f>
        <v>0.625</v>
      </c>
      <c r="F52" s="36">
        <f>E52/4</f>
        <v>0.15625</v>
      </c>
      <c r="G52" s="36">
        <v>0.16</v>
      </c>
      <c r="H52" s="37">
        <v>0.16</v>
      </c>
      <c r="I52" s="37">
        <v>0.16</v>
      </c>
    </row>
    <row r="53" spans="1:9" s="24" customFormat="1" ht="12.75">
      <c r="A53" s="20" t="s">
        <v>19</v>
      </c>
      <c r="B53" s="20" t="s">
        <v>67</v>
      </c>
      <c r="C53" s="22" t="s">
        <v>68</v>
      </c>
      <c r="D53" s="18">
        <v>10</v>
      </c>
      <c r="E53" s="32">
        <f>D53*0.04</f>
        <v>0.4</v>
      </c>
      <c r="F53" s="36"/>
      <c r="G53" s="36">
        <v>0.4</v>
      </c>
      <c r="H53" s="37"/>
      <c r="I53" s="37"/>
    </row>
    <row r="54" spans="1:9" s="24" customFormat="1" ht="12.75">
      <c r="A54" s="20" t="s">
        <v>21</v>
      </c>
      <c r="B54" s="20" t="s">
        <v>69</v>
      </c>
      <c r="C54" s="22" t="s">
        <v>87</v>
      </c>
      <c r="D54" s="18">
        <v>80</v>
      </c>
      <c r="E54" s="32">
        <f>D54*0.068</f>
        <v>5.44</v>
      </c>
      <c r="F54" s="36">
        <f>E54/4</f>
        <v>1.36</v>
      </c>
      <c r="G54" s="36">
        <v>1.36</v>
      </c>
      <c r="H54" s="37">
        <v>1.36</v>
      </c>
      <c r="I54" s="36">
        <v>1.36</v>
      </c>
    </row>
    <row r="55" spans="1:9" s="24" customFormat="1" ht="29.25" customHeight="1">
      <c r="A55" s="46" t="s">
        <v>23</v>
      </c>
      <c r="B55" s="21" t="s">
        <v>71</v>
      </c>
      <c r="C55" s="22" t="s">
        <v>72</v>
      </c>
      <c r="D55" s="18">
        <v>10</v>
      </c>
      <c r="E55" s="32">
        <f>D55*0.05</f>
        <v>0.5</v>
      </c>
      <c r="F55" s="36"/>
      <c r="G55" s="36">
        <v>0.5</v>
      </c>
      <c r="H55" s="37"/>
      <c r="I55" s="37"/>
    </row>
    <row r="56" spans="1:9" s="24" customFormat="1" ht="12.75">
      <c r="A56" s="20" t="s">
        <v>73</v>
      </c>
      <c r="B56" s="20" t="s">
        <v>74</v>
      </c>
      <c r="C56" s="22" t="s">
        <v>75</v>
      </c>
      <c r="D56" s="18">
        <v>0</v>
      </c>
      <c r="E56" s="32">
        <f>D56*0.1</f>
        <v>0</v>
      </c>
      <c r="F56" s="36"/>
      <c r="G56" s="36"/>
      <c r="H56" s="37"/>
      <c r="I56" s="37"/>
    </row>
    <row r="57" spans="1:9" s="24" customFormat="1" ht="25.5">
      <c r="A57" s="20" t="s">
        <v>26</v>
      </c>
      <c r="B57" s="21" t="s">
        <v>77</v>
      </c>
      <c r="C57" s="22" t="s">
        <v>68</v>
      </c>
      <c r="D57" s="18">
        <v>15</v>
      </c>
      <c r="E57" s="32">
        <f>D57*0.032</f>
        <v>0.48</v>
      </c>
      <c r="F57" s="36">
        <f>E57/4</f>
        <v>0.12</v>
      </c>
      <c r="G57" s="36">
        <v>0.12</v>
      </c>
      <c r="H57" s="37">
        <v>0.12</v>
      </c>
      <c r="I57" s="36">
        <v>0.12</v>
      </c>
    </row>
    <row r="58" spans="1:9" s="24" customFormat="1" ht="27.75" customHeight="1">
      <c r="A58" s="20" t="s">
        <v>28</v>
      </c>
      <c r="B58" s="21" t="s">
        <v>79</v>
      </c>
      <c r="C58" s="22" t="s">
        <v>80</v>
      </c>
      <c r="D58" s="18"/>
      <c r="E58" s="32"/>
      <c r="F58" s="36"/>
      <c r="G58" s="36"/>
      <c r="H58" s="37"/>
      <c r="I58" s="37"/>
    </row>
    <row r="59" spans="1:9" s="24" customFormat="1" ht="12.75">
      <c r="A59" s="20" t="s">
        <v>70</v>
      </c>
      <c r="B59" s="21" t="s">
        <v>82</v>
      </c>
      <c r="C59" s="22" t="s">
        <v>83</v>
      </c>
      <c r="D59" s="18">
        <v>20</v>
      </c>
      <c r="E59" s="32">
        <f>D59*0.02</f>
        <v>0.4</v>
      </c>
      <c r="F59" s="36">
        <f>E59/4</f>
        <v>0.1</v>
      </c>
      <c r="G59" s="36">
        <v>0.1</v>
      </c>
      <c r="H59" s="37">
        <v>0.1</v>
      </c>
      <c r="I59" s="37">
        <v>0.1</v>
      </c>
    </row>
    <row r="60" spans="1:9" s="24" customFormat="1" ht="12.75">
      <c r="A60" s="20" t="s">
        <v>73</v>
      </c>
      <c r="B60" s="21" t="s">
        <v>154</v>
      </c>
      <c r="C60" s="22" t="s">
        <v>144</v>
      </c>
      <c r="D60" s="18">
        <v>20</v>
      </c>
      <c r="E60" s="32">
        <f>D60*0.128</f>
        <v>2.56</v>
      </c>
      <c r="F60" s="36">
        <f>E60/4</f>
        <v>0.64</v>
      </c>
      <c r="G60" s="36">
        <v>0.64</v>
      </c>
      <c r="H60" s="37">
        <v>0.64</v>
      </c>
      <c r="I60" s="37">
        <v>0.64</v>
      </c>
    </row>
    <row r="61" spans="1:9" s="24" customFormat="1" ht="12.75">
      <c r="A61" s="20" t="s">
        <v>76</v>
      </c>
      <c r="B61" s="21" t="s">
        <v>155</v>
      </c>
      <c r="C61" s="22" t="s">
        <v>144</v>
      </c>
      <c r="D61" s="18">
        <v>20</v>
      </c>
      <c r="E61" s="32">
        <f>D61*0.152</f>
        <v>3.04</v>
      </c>
      <c r="F61" s="36">
        <f>E61/4</f>
        <v>0.76</v>
      </c>
      <c r="G61" s="36">
        <v>0.76</v>
      </c>
      <c r="H61" s="37">
        <v>0.76</v>
      </c>
      <c r="I61" s="37">
        <v>0.76</v>
      </c>
    </row>
    <row r="62" spans="1:9" s="24" customFormat="1" ht="15.75" customHeight="1">
      <c r="A62" s="46" t="s">
        <v>78</v>
      </c>
      <c r="B62" s="21" t="s">
        <v>84</v>
      </c>
      <c r="C62" s="22" t="s">
        <v>85</v>
      </c>
      <c r="D62" s="18">
        <v>3</v>
      </c>
      <c r="E62" s="32">
        <f>D62*0.1</f>
        <v>0.30000000000000004</v>
      </c>
      <c r="F62" s="36"/>
      <c r="G62" s="36"/>
      <c r="H62" s="37">
        <v>0.3</v>
      </c>
      <c r="I62" s="36"/>
    </row>
    <row r="63" spans="1:9" s="24" customFormat="1" ht="12.75">
      <c r="A63" s="46" t="s">
        <v>81</v>
      </c>
      <c r="B63" s="21" t="s">
        <v>86</v>
      </c>
      <c r="C63" s="22" t="s">
        <v>87</v>
      </c>
      <c r="D63" s="18">
        <v>0</v>
      </c>
      <c r="E63" s="32">
        <f>D63*0.03</f>
        <v>0</v>
      </c>
      <c r="F63" s="36"/>
      <c r="G63" s="36"/>
      <c r="H63" s="37"/>
      <c r="I63" s="37"/>
    </row>
    <row r="64" spans="1:9" s="24" customFormat="1" ht="12.75">
      <c r="A64" s="46" t="s">
        <v>156</v>
      </c>
      <c r="B64" s="21" t="s">
        <v>88</v>
      </c>
      <c r="C64" s="22" t="s">
        <v>89</v>
      </c>
      <c r="D64" s="18">
        <v>0</v>
      </c>
      <c r="E64" s="32">
        <f>D64*0.02</f>
        <v>0</v>
      </c>
      <c r="F64" s="36"/>
      <c r="G64" s="36"/>
      <c r="H64" s="37"/>
      <c r="I64" s="37"/>
    </row>
    <row r="65" spans="1:9" s="24" customFormat="1" ht="12.75">
      <c r="A65" s="46" t="s">
        <v>157</v>
      </c>
      <c r="B65" s="37" t="s">
        <v>143</v>
      </c>
      <c r="C65" s="37" t="s">
        <v>144</v>
      </c>
      <c r="D65" s="37">
        <v>20</v>
      </c>
      <c r="E65" s="37">
        <f>D65*0.15</f>
        <v>3</v>
      </c>
      <c r="F65" s="36">
        <f>E65/4</f>
        <v>0.75</v>
      </c>
      <c r="G65" s="37">
        <v>0.75</v>
      </c>
      <c r="H65" s="37">
        <v>0.75</v>
      </c>
      <c r="I65" s="37">
        <v>0.75</v>
      </c>
    </row>
    <row r="66" spans="1:9" s="24" customFormat="1" ht="12.75">
      <c r="A66" s="20" t="s">
        <v>31</v>
      </c>
      <c r="B66" s="137" t="s">
        <v>32</v>
      </c>
      <c r="C66" s="138"/>
      <c r="D66" s="138"/>
      <c r="E66" s="26"/>
      <c r="F66" s="36"/>
      <c r="G66" s="36"/>
      <c r="H66" s="37"/>
      <c r="I66" s="37"/>
    </row>
    <row r="67" spans="1:9" s="24" customFormat="1" ht="12.75">
      <c r="A67" s="20" t="s">
        <v>33</v>
      </c>
      <c r="B67" s="21" t="s">
        <v>90</v>
      </c>
      <c r="C67" s="22" t="s">
        <v>91</v>
      </c>
      <c r="D67" s="18">
        <v>7.53</v>
      </c>
      <c r="E67" s="32">
        <f>D67*0.2</f>
        <v>1.5060000000000002</v>
      </c>
      <c r="F67" s="36"/>
      <c r="G67" s="36">
        <v>1.51</v>
      </c>
      <c r="H67" s="37"/>
      <c r="I67" s="37"/>
    </row>
    <row r="68" spans="1:9" s="24" customFormat="1" ht="12.75">
      <c r="A68" s="20" t="s">
        <v>39</v>
      </c>
      <c r="B68" s="137" t="s">
        <v>32</v>
      </c>
      <c r="C68" s="138"/>
      <c r="D68" s="138"/>
      <c r="E68" s="26"/>
      <c r="F68" s="36"/>
      <c r="G68" s="36"/>
      <c r="H68" s="37"/>
      <c r="I68" s="37"/>
    </row>
    <row r="69" spans="1:9" s="24" customFormat="1" ht="25.5">
      <c r="A69" s="20" t="s">
        <v>40</v>
      </c>
      <c r="B69" s="21" t="s">
        <v>92</v>
      </c>
      <c r="C69" s="22" t="s">
        <v>93</v>
      </c>
      <c r="D69" s="18">
        <v>0</v>
      </c>
      <c r="E69" s="32">
        <f>D69*0.3</f>
        <v>0</v>
      </c>
      <c r="F69" s="36"/>
      <c r="G69" s="36"/>
      <c r="H69" s="37"/>
      <c r="I69" s="37"/>
    </row>
    <row r="70" spans="1:9" s="24" customFormat="1" ht="12.75">
      <c r="A70" s="20" t="s">
        <v>41</v>
      </c>
      <c r="B70" s="21" t="s">
        <v>94</v>
      </c>
      <c r="C70" s="22" t="s">
        <v>95</v>
      </c>
      <c r="D70" s="18"/>
      <c r="E70" s="32"/>
      <c r="F70" s="36"/>
      <c r="G70" s="36"/>
      <c r="H70" s="37"/>
      <c r="I70" s="37"/>
    </row>
    <row r="71" spans="1:9" s="24" customFormat="1" ht="14.25" customHeight="1">
      <c r="A71" s="20" t="s">
        <v>47</v>
      </c>
      <c r="B71" s="21" t="s">
        <v>96</v>
      </c>
      <c r="C71" s="22" t="s">
        <v>97</v>
      </c>
      <c r="D71" s="18">
        <v>175.87</v>
      </c>
      <c r="E71" s="32">
        <f>D71*0.0976</f>
        <v>17.164912</v>
      </c>
      <c r="F71" s="36"/>
      <c r="G71" s="36">
        <v>17.16</v>
      </c>
      <c r="H71" s="37"/>
      <c r="I71" s="37"/>
    </row>
    <row r="72" spans="1:9" s="24" customFormat="1" ht="16.5" customHeight="1">
      <c r="A72" s="20" t="s">
        <v>52</v>
      </c>
      <c r="B72" s="21" t="s">
        <v>98</v>
      </c>
      <c r="C72" s="22" t="s">
        <v>91</v>
      </c>
      <c r="D72" s="18">
        <v>7.53</v>
      </c>
      <c r="E72" s="32">
        <f>D72*0.874</f>
        <v>6.58122</v>
      </c>
      <c r="F72" s="36"/>
      <c r="G72" s="36">
        <v>6.58</v>
      </c>
      <c r="H72" s="37"/>
      <c r="I72" s="37"/>
    </row>
    <row r="73" spans="1:9" s="24" customFormat="1" ht="15.75" customHeight="1">
      <c r="A73" s="20" t="s">
        <v>99</v>
      </c>
      <c r="B73" s="21" t="s">
        <v>100</v>
      </c>
      <c r="C73" s="22" t="s">
        <v>101</v>
      </c>
      <c r="D73" s="18">
        <v>100</v>
      </c>
      <c r="E73" s="32">
        <f>D73*0.1</f>
        <v>10</v>
      </c>
      <c r="F73" s="36">
        <v>5</v>
      </c>
      <c r="G73" s="36"/>
      <c r="H73" s="37"/>
      <c r="I73" s="37">
        <v>5</v>
      </c>
    </row>
    <row r="74" spans="1:9" s="24" customFormat="1" ht="12.75">
      <c r="A74" s="20" t="s">
        <v>102</v>
      </c>
      <c r="B74" s="21" t="s">
        <v>134</v>
      </c>
      <c r="C74" s="22" t="s">
        <v>130</v>
      </c>
      <c r="D74" s="18">
        <v>2</v>
      </c>
      <c r="E74" s="32">
        <f>D74*0.85</f>
        <v>1.7</v>
      </c>
      <c r="F74" s="36">
        <f>E74/2</f>
        <v>0.85</v>
      </c>
      <c r="G74" s="36"/>
      <c r="H74" s="37">
        <v>0.85</v>
      </c>
      <c r="I74" s="36"/>
    </row>
    <row r="75" spans="1:9" s="24" customFormat="1" ht="14.25" customHeight="1">
      <c r="A75" s="20" t="s">
        <v>103</v>
      </c>
      <c r="B75" s="57" t="s">
        <v>135</v>
      </c>
      <c r="C75" s="58" t="s">
        <v>130</v>
      </c>
      <c r="D75" s="18">
        <v>0</v>
      </c>
      <c r="E75" s="32">
        <v>0</v>
      </c>
      <c r="F75" s="36"/>
      <c r="G75" s="36"/>
      <c r="H75" s="37"/>
      <c r="I75" s="37"/>
    </row>
    <row r="76" spans="1:11" s="24" customFormat="1" ht="12.75">
      <c r="A76" s="142" t="s">
        <v>146</v>
      </c>
      <c r="B76" s="140"/>
      <c r="C76" s="140"/>
      <c r="D76" s="141"/>
      <c r="E76" s="40">
        <f>SUM(E45:E75)</f>
        <v>60.397132000000006</v>
      </c>
      <c r="F76" s="41">
        <f>SUM(F44:F75)</f>
        <v>11.386249999999999</v>
      </c>
      <c r="G76" s="41">
        <f>SUM(G44:G75)</f>
        <v>31.799999999999997</v>
      </c>
      <c r="H76" s="42">
        <f>SUM(H44:H75)</f>
        <v>6.699999999999999</v>
      </c>
      <c r="I76" s="42">
        <f>SUM(I44:I75)</f>
        <v>10.52</v>
      </c>
      <c r="J76" s="72"/>
      <c r="K76" s="68"/>
    </row>
    <row r="77" spans="1:11" ht="12.75">
      <c r="A77" s="44" t="s">
        <v>104</v>
      </c>
      <c r="B77" s="4"/>
      <c r="C77" s="4"/>
      <c r="D77" s="4"/>
      <c r="E77" s="33"/>
      <c r="F77" s="36"/>
      <c r="G77" s="36"/>
      <c r="H77" s="37"/>
      <c r="I77" s="37"/>
      <c r="J77" s="24"/>
      <c r="K77" s="24"/>
    </row>
    <row r="78" spans="1:11" ht="12.75">
      <c r="A78" s="5" t="s">
        <v>7</v>
      </c>
      <c r="B78" s="10" t="s">
        <v>105</v>
      </c>
      <c r="C78" s="7"/>
      <c r="D78" s="16"/>
      <c r="E78" s="32"/>
      <c r="F78" s="36"/>
      <c r="G78" s="36"/>
      <c r="H78" s="37"/>
      <c r="I78" s="37"/>
      <c r="J78" s="24"/>
      <c r="K78" s="24"/>
    </row>
    <row r="79" spans="1:11" ht="12.75">
      <c r="A79" s="6" t="s">
        <v>9</v>
      </c>
      <c r="B79" s="6" t="s">
        <v>106</v>
      </c>
      <c r="C79" s="7" t="s">
        <v>107</v>
      </c>
      <c r="D79" s="16">
        <v>1600</v>
      </c>
      <c r="E79" s="32">
        <v>35.397</v>
      </c>
      <c r="F79" s="36">
        <f>E79/4</f>
        <v>8.84925</v>
      </c>
      <c r="G79" s="36">
        <v>8.85</v>
      </c>
      <c r="H79" s="37">
        <v>8.85</v>
      </c>
      <c r="I79" s="37">
        <v>8.85</v>
      </c>
      <c r="J79" s="24"/>
      <c r="K79" s="24"/>
    </row>
    <row r="80" spans="1:11" ht="12.75">
      <c r="A80" s="6" t="s">
        <v>12</v>
      </c>
      <c r="B80" s="8" t="s">
        <v>108</v>
      </c>
      <c r="C80" s="7" t="s">
        <v>109</v>
      </c>
      <c r="D80" s="16">
        <v>1</v>
      </c>
      <c r="E80" s="32">
        <v>3.53</v>
      </c>
      <c r="F80" s="36"/>
      <c r="G80" s="36"/>
      <c r="H80" s="37">
        <v>3.53</v>
      </c>
      <c r="I80" s="37"/>
      <c r="J80" s="24"/>
      <c r="K80" s="24"/>
    </row>
    <row r="81" spans="1:11" ht="12.75">
      <c r="A81" s="6" t="s">
        <v>15</v>
      </c>
      <c r="B81" s="8" t="s">
        <v>110</v>
      </c>
      <c r="C81" s="7" t="s">
        <v>107</v>
      </c>
      <c r="D81" s="16">
        <v>1000</v>
      </c>
      <c r="E81" s="32">
        <v>5</v>
      </c>
      <c r="F81" s="36"/>
      <c r="G81" s="36">
        <f>E81/2</f>
        <v>2.5</v>
      </c>
      <c r="H81" s="37">
        <v>2.5</v>
      </c>
      <c r="I81" s="37"/>
      <c r="J81" s="24"/>
      <c r="K81" s="24"/>
    </row>
    <row r="82" spans="1:11" ht="12.75">
      <c r="A82" s="6" t="s">
        <v>31</v>
      </c>
      <c r="B82" s="10" t="s">
        <v>111</v>
      </c>
      <c r="C82" s="7"/>
      <c r="D82" s="16"/>
      <c r="E82" s="32"/>
      <c r="F82" s="36"/>
      <c r="G82" s="36"/>
      <c r="H82" s="37"/>
      <c r="I82" s="37"/>
      <c r="J82" s="24"/>
      <c r="K82" s="24"/>
    </row>
    <row r="83" spans="1:11" ht="26.25" customHeight="1">
      <c r="A83" s="6"/>
      <c r="B83" s="8" t="s">
        <v>112</v>
      </c>
      <c r="C83" s="7" t="s">
        <v>113</v>
      </c>
      <c r="D83" s="16"/>
      <c r="E83" s="32"/>
      <c r="F83" s="36"/>
      <c r="G83" s="36"/>
      <c r="H83" s="37"/>
      <c r="I83" s="37"/>
      <c r="J83" s="24"/>
      <c r="K83" s="24"/>
    </row>
    <row r="84" spans="1:11" ht="27" customHeight="1">
      <c r="A84" s="6"/>
      <c r="B84" s="8" t="s">
        <v>114</v>
      </c>
      <c r="C84" s="7" t="s">
        <v>113</v>
      </c>
      <c r="D84" s="18">
        <v>493</v>
      </c>
      <c r="E84" s="32">
        <v>18</v>
      </c>
      <c r="F84" s="36">
        <f>E84/4</f>
        <v>4.5</v>
      </c>
      <c r="G84" s="36">
        <v>4.5</v>
      </c>
      <c r="H84" s="37">
        <v>4.5</v>
      </c>
      <c r="I84" s="36">
        <v>4.5</v>
      </c>
      <c r="J84" s="24"/>
      <c r="K84" s="24"/>
    </row>
    <row r="85" spans="1:11" ht="12.75">
      <c r="A85" s="179" t="s">
        <v>147</v>
      </c>
      <c r="B85" s="143"/>
      <c r="C85" s="143"/>
      <c r="D85" s="144"/>
      <c r="E85" s="40">
        <f>SUM(E79:E84)</f>
        <v>61.927</v>
      </c>
      <c r="F85" s="41">
        <f>SUM(F79:F84)</f>
        <v>13.34925</v>
      </c>
      <c r="G85" s="41">
        <f>SUM(G79:G84)</f>
        <v>15.85</v>
      </c>
      <c r="H85" s="42">
        <f>SUM(H79:H84)</f>
        <v>19.38</v>
      </c>
      <c r="I85" s="41">
        <f>SUM(I79:I84)</f>
        <v>13.35</v>
      </c>
      <c r="J85" s="72"/>
      <c r="K85" s="68"/>
    </row>
    <row r="86" spans="1:11" ht="12.75">
      <c r="A86" s="180" t="s">
        <v>115</v>
      </c>
      <c r="B86" s="180"/>
      <c r="C86" s="180"/>
      <c r="D86" s="180"/>
      <c r="E86" s="34"/>
      <c r="F86" s="36"/>
      <c r="G86" s="36"/>
      <c r="H86" s="37"/>
      <c r="I86" s="37"/>
      <c r="J86" s="24"/>
      <c r="K86" s="24"/>
    </row>
    <row r="87" spans="1:11" ht="12.75">
      <c r="A87" s="45">
        <v>1</v>
      </c>
      <c r="B87" s="5" t="s">
        <v>126</v>
      </c>
      <c r="C87" s="11" t="s">
        <v>127</v>
      </c>
      <c r="D87" s="15">
        <v>3689.8</v>
      </c>
      <c r="E87" s="35">
        <f>D87*0.59*12/1000</f>
        <v>26.123784</v>
      </c>
      <c r="F87" s="36">
        <f>E87/4</f>
        <v>6.530946</v>
      </c>
      <c r="G87" s="36">
        <v>6.53</v>
      </c>
      <c r="H87" s="37">
        <v>6.53</v>
      </c>
      <c r="I87" s="36">
        <f>E87-F87-G87-H87</f>
        <v>6.532837999999999</v>
      </c>
      <c r="J87" s="24"/>
      <c r="K87" s="24"/>
    </row>
    <row r="88" spans="1:11" ht="12.75">
      <c r="A88" s="45">
        <v>2</v>
      </c>
      <c r="B88" s="5" t="s">
        <v>116</v>
      </c>
      <c r="C88" s="11" t="s">
        <v>117</v>
      </c>
      <c r="D88" s="15">
        <v>560</v>
      </c>
      <c r="E88" s="31">
        <f>D88*1.4*2/1000</f>
        <v>1.568</v>
      </c>
      <c r="F88" s="36"/>
      <c r="G88" s="36">
        <f>E88/2</f>
        <v>0.784</v>
      </c>
      <c r="H88" s="36">
        <f>E88-G88</f>
        <v>0.784</v>
      </c>
      <c r="I88" s="36"/>
      <c r="J88" s="24"/>
      <c r="K88" s="24"/>
    </row>
    <row r="89" spans="1:11" ht="25.5">
      <c r="A89" s="45">
        <v>3</v>
      </c>
      <c r="B89" s="19" t="s">
        <v>128</v>
      </c>
      <c r="C89" s="11" t="s">
        <v>181</v>
      </c>
      <c r="D89" s="15"/>
      <c r="E89" s="35">
        <v>18</v>
      </c>
      <c r="F89" s="36">
        <f>E89/4</f>
        <v>4.5</v>
      </c>
      <c r="G89" s="36">
        <v>4.5</v>
      </c>
      <c r="H89" s="37">
        <v>4.5</v>
      </c>
      <c r="I89" s="36">
        <v>4.5</v>
      </c>
      <c r="J89" s="24"/>
      <c r="K89" s="24"/>
    </row>
    <row r="90" spans="1:11" ht="12.75">
      <c r="A90" s="45">
        <v>4</v>
      </c>
      <c r="B90" s="28" t="s">
        <v>191</v>
      </c>
      <c r="C90" s="11" t="s">
        <v>127</v>
      </c>
      <c r="D90" s="15">
        <v>3689.8</v>
      </c>
      <c r="E90" s="31">
        <v>35.295</v>
      </c>
      <c r="F90" s="36">
        <f>E90/4</f>
        <v>8.82375</v>
      </c>
      <c r="G90" s="36">
        <v>8.82</v>
      </c>
      <c r="H90" s="37">
        <v>8.82</v>
      </c>
      <c r="I90" s="36">
        <v>8.82</v>
      </c>
      <c r="J90" s="23"/>
      <c r="K90" s="23"/>
    </row>
    <row r="91" spans="1:11" ht="12.75">
      <c r="A91" s="120" t="s">
        <v>149</v>
      </c>
      <c r="B91" s="143"/>
      <c r="C91" s="143"/>
      <c r="D91" s="144"/>
      <c r="E91" s="40">
        <f>SUM(E87:E90)</f>
        <v>80.986784</v>
      </c>
      <c r="F91" s="41">
        <f>SUM(F87:F90)</f>
        <v>19.854696</v>
      </c>
      <c r="G91" s="41">
        <f>SUM(G87:G90)</f>
        <v>20.634</v>
      </c>
      <c r="H91" s="42">
        <f>SUM(H87:H90)</f>
        <v>20.634</v>
      </c>
      <c r="I91" s="41">
        <f>SUM(I87:I90)</f>
        <v>19.852838</v>
      </c>
      <c r="J91" s="72"/>
      <c r="K91" s="68"/>
    </row>
    <row r="92" spans="1:11" ht="12.75">
      <c r="A92" s="139" t="s">
        <v>150</v>
      </c>
      <c r="B92" s="140"/>
      <c r="C92" s="140"/>
      <c r="D92" s="141"/>
      <c r="E92" s="41">
        <f>E91+E85+E76+E41</f>
        <v>231.82091599999998</v>
      </c>
      <c r="F92" s="41">
        <f>F91+F85+F76+F41</f>
        <v>57.490196</v>
      </c>
      <c r="G92" s="41">
        <f>G91+G85+G76+G41</f>
        <v>74.78899999999999</v>
      </c>
      <c r="H92" s="41">
        <f>H91+H85+H76+H41</f>
        <v>53.125</v>
      </c>
      <c r="I92" s="41">
        <f>I91+I85+I76+I41</f>
        <v>46.422838</v>
      </c>
      <c r="J92" s="72">
        <f>231.82</f>
        <v>231.82</v>
      </c>
      <c r="K92" s="72">
        <f>J92-E92</f>
        <v>-0.0009159999999894808</v>
      </c>
    </row>
    <row r="93" spans="1:11" ht="25.5">
      <c r="A93" s="150">
        <v>1</v>
      </c>
      <c r="B93" s="63" t="s">
        <v>182</v>
      </c>
      <c r="C93" s="94" t="s">
        <v>107</v>
      </c>
      <c r="D93" s="15">
        <v>3689.8</v>
      </c>
      <c r="E93" s="31">
        <f>(2.32*D93*10/1000)+(4100*2/1000)</f>
        <v>93.80335999999998</v>
      </c>
      <c r="F93" s="36">
        <f>E93/4</f>
        <v>23.450839999999996</v>
      </c>
      <c r="G93" s="36">
        <v>23.45</v>
      </c>
      <c r="H93" s="37">
        <v>23.45</v>
      </c>
      <c r="I93" s="36">
        <v>23.45</v>
      </c>
      <c r="J93" s="72"/>
      <c r="K93" s="68"/>
    </row>
    <row r="94" spans="1:11" ht="12.75">
      <c r="A94" s="151"/>
      <c r="B94" s="62" t="s">
        <v>183</v>
      </c>
      <c r="C94" s="66"/>
      <c r="D94" s="52"/>
      <c r="E94" s="31">
        <v>22.89</v>
      </c>
      <c r="F94" s="36">
        <f>E94/4</f>
        <v>5.7225</v>
      </c>
      <c r="G94" s="36">
        <v>5.72</v>
      </c>
      <c r="H94" s="37">
        <v>5.72</v>
      </c>
      <c r="I94" s="36">
        <v>5.72</v>
      </c>
      <c r="J94" s="72">
        <f>116.697-E93</f>
        <v>22.89364000000002</v>
      </c>
      <c r="K94" s="68"/>
    </row>
    <row r="95" spans="1:11" ht="25.5">
      <c r="A95" s="152"/>
      <c r="B95" s="82" t="s">
        <v>184</v>
      </c>
      <c r="C95" s="81"/>
      <c r="D95" s="41"/>
      <c r="E95" s="40">
        <f>SUM(E93:E94)</f>
        <v>116.69335999999998</v>
      </c>
      <c r="F95" s="41">
        <f>SUM(F93:F94)</f>
        <v>29.173339999999996</v>
      </c>
      <c r="G95" s="41">
        <f>SUM(G93:G94)</f>
        <v>29.169999999999998</v>
      </c>
      <c r="H95" s="42">
        <f>SUM(H93:H94)</f>
        <v>29.169999999999998</v>
      </c>
      <c r="I95" s="41">
        <f>SUM(I93:I94)</f>
        <v>29.169999999999998</v>
      </c>
      <c r="J95" s="72">
        <f>F95+G95+H95+I95</f>
        <v>116.68334</v>
      </c>
      <c r="K95" s="68"/>
    </row>
    <row r="96" spans="1:11" ht="25.5">
      <c r="A96" s="150">
        <v>2</v>
      </c>
      <c r="B96" s="62" t="s">
        <v>188</v>
      </c>
      <c r="C96" s="66" t="s">
        <v>107</v>
      </c>
      <c r="D96" s="15">
        <v>3689.8</v>
      </c>
      <c r="E96" s="31">
        <f>D96*1.62*12/1000</f>
        <v>71.729712</v>
      </c>
      <c r="F96" s="36">
        <f>E96/4</f>
        <v>17.932428</v>
      </c>
      <c r="G96" s="36">
        <v>17.93</v>
      </c>
      <c r="H96" s="37">
        <v>17.93</v>
      </c>
      <c r="I96" s="36">
        <v>17.93</v>
      </c>
      <c r="J96" s="72"/>
      <c r="K96" s="68"/>
    </row>
    <row r="97" spans="1:11" ht="12.75">
      <c r="A97" s="151"/>
      <c r="B97" s="62" t="s">
        <v>183</v>
      </c>
      <c r="C97" s="66"/>
      <c r="D97" s="52"/>
      <c r="E97" s="31">
        <v>2.21</v>
      </c>
      <c r="F97" s="36">
        <f>E97/4</f>
        <v>0.5525</v>
      </c>
      <c r="G97" s="36">
        <v>0.55</v>
      </c>
      <c r="H97" s="37">
        <v>0.55</v>
      </c>
      <c r="I97" s="36">
        <v>0.55</v>
      </c>
      <c r="J97" s="72"/>
      <c r="K97" s="68"/>
    </row>
    <row r="98" spans="1:11" ht="12.75">
      <c r="A98" s="152"/>
      <c r="B98" s="82" t="s">
        <v>189</v>
      </c>
      <c r="C98" s="81"/>
      <c r="D98" s="41"/>
      <c r="E98" s="40">
        <f>SUM(E96:E97)</f>
        <v>73.939712</v>
      </c>
      <c r="F98" s="41">
        <f>SUM(F96:F97)</f>
        <v>18.484928</v>
      </c>
      <c r="G98" s="41">
        <f>SUM(G96:G97)</f>
        <v>18.48</v>
      </c>
      <c r="H98" s="42">
        <f>SUM(H96:H97)</f>
        <v>18.48</v>
      </c>
      <c r="I98" s="41">
        <f>SUM(I96:I97)</f>
        <v>18.48</v>
      </c>
      <c r="J98" s="72">
        <f>F98+G98+H98+I98</f>
        <v>73.92492800000001</v>
      </c>
      <c r="K98" s="72"/>
    </row>
    <row r="99" spans="1:11" ht="25.5">
      <c r="A99" s="150">
        <v>3</v>
      </c>
      <c r="B99" s="62" t="s">
        <v>185</v>
      </c>
      <c r="C99" s="60" t="s">
        <v>107</v>
      </c>
      <c r="D99" s="15">
        <v>3689.8</v>
      </c>
      <c r="E99" s="31">
        <f>D99*0.45*12/1000</f>
        <v>19.92492</v>
      </c>
      <c r="F99" s="36">
        <f>E99/4</f>
        <v>4.98123</v>
      </c>
      <c r="G99" s="36">
        <v>4.98</v>
      </c>
      <c r="H99" s="37">
        <v>4.98</v>
      </c>
      <c r="I99" s="36">
        <v>4.98</v>
      </c>
      <c r="J99" s="72"/>
      <c r="K99" s="68"/>
    </row>
    <row r="100" spans="1:11" ht="12.75">
      <c r="A100" s="151"/>
      <c r="B100" s="63" t="s">
        <v>183</v>
      </c>
      <c r="C100" s="60"/>
      <c r="D100" s="52"/>
      <c r="E100" s="31">
        <v>3.17</v>
      </c>
      <c r="F100" s="36">
        <f>E100/4</f>
        <v>0.7925</v>
      </c>
      <c r="G100" s="36">
        <v>0.79</v>
      </c>
      <c r="H100" s="37">
        <v>0.79</v>
      </c>
      <c r="I100" s="36">
        <v>0.79</v>
      </c>
      <c r="J100" s="72"/>
      <c r="K100" s="68"/>
    </row>
    <row r="101" spans="1:11" ht="25.5">
      <c r="A101" s="152"/>
      <c r="B101" s="83" t="s">
        <v>186</v>
      </c>
      <c r="C101" s="84"/>
      <c r="D101" s="41"/>
      <c r="E101" s="40">
        <f>SUM(E99:E100)</f>
        <v>23.094920000000002</v>
      </c>
      <c r="F101" s="40">
        <f>SUM(F99:F100)</f>
        <v>5.7737300000000005</v>
      </c>
      <c r="G101" s="40">
        <f>SUM(G99:G100)</f>
        <v>5.7700000000000005</v>
      </c>
      <c r="H101" s="40">
        <f>SUM(H99:H100)</f>
        <v>5.7700000000000005</v>
      </c>
      <c r="I101" s="41">
        <f>SUM(I99:I100)</f>
        <v>5.7700000000000005</v>
      </c>
      <c r="J101" s="72">
        <f>F101+G101+H101+I101</f>
        <v>23.08373</v>
      </c>
      <c r="K101" s="68"/>
    </row>
    <row r="102" spans="1:11" ht="12.75">
      <c r="A102" s="126" t="s">
        <v>152</v>
      </c>
      <c r="B102" s="119"/>
      <c r="C102" s="119"/>
      <c r="D102" s="119"/>
      <c r="E102" s="64">
        <f>E95+E98+E101</f>
        <v>213.72799199999997</v>
      </c>
      <c r="F102" s="64">
        <f>F95+F98+F101</f>
        <v>53.43199799999999</v>
      </c>
      <c r="G102" s="64">
        <f>G95+G98+G101</f>
        <v>53.42</v>
      </c>
      <c r="H102" s="64">
        <f>H95+H98+H101</f>
        <v>53.42</v>
      </c>
      <c r="I102" s="64">
        <f>I95+I98+I101</f>
        <v>53.42</v>
      </c>
      <c r="J102" s="72"/>
      <c r="K102" s="68"/>
    </row>
    <row r="103" spans="1:11" ht="15.75">
      <c r="A103" s="175" t="s">
        <v>153</v>
      </c>
      <c r="B103" s="176"/>
      <c r="C103" s="176"/>
      <c r="D103" s="176"/>
      <c r="E103" s="65">
        <f>E92+E102</f>
        <v>445.548908</v>
      </c>
      <c r="F103" s="65">
        <f>F92+F102</f>
        <v>110.92219399999999</v>
      </c>
      <c r="G103" s="65">
        <f>G92+G102</f>
        <v>128.209</v>
      </c>
      <c r="H103" s="65">
        <f>H92+H102</f>
        <v>106.545</v>
      </c>
      <c r="I103" s="65">
        <f>I92+I102</f>
        <v>99.842838</v>
      </c>
      <c r="J103" s="23">
        <f>F103+G103+H103+I103</f>
        <v>445.51903200000004</v>
      </c>
      <c r="K103" s="24"/>
    </row>
    <row r="104" spans="1:11" ht="12.75">
      <c r="A104" s="177" t="s">
        <v>118</v>
      </c>
      <c r="B104" s="177"/>
      <c r="C104" s="177"/>
      <c r="D104" s="177"/>
      <c r="E104" s="178"/>
      <c r="F104" s="36"/>
      <c r="G104" s="36"/>
      <c r="H104" s="37"/>
      <c r="I104" s="37"/>
      <c r="J104" s="24"/>
      <c r="K104" s="24"/>
    </row>
    <row r="105" spans="1:11" ht="12.75">
      <c r="A105" s="5" t="s">
        <v>7</v>
      </c>
      <c r="B105" s="5" t="s">
        <v>119</v>
      </c>
      <c r="C105" s="12" t="s">
        <v>120</v>
      </c>
      <c r="D105" s="15">
        <v>110.691</v>
      </c>
      <c r="E105" s="31"/>
      <c r="F105" s="36"/>
      <c r="G105" s="36"/>
      <c r="H105" s="37"/>
      <c r="I105" s="37"/>
      <c r="J105" s="24"/>
      <c r="K105" s="24"/>
    </row>
    <row r="106" spans="1:11" ht="12.75">
      <c r="A106" s="5" t="s">
        <v>31</v>
      </c>
      <c r="B106" s="5" t="s">
        <v>121</v>
      </c>
      <c r="C106" s="12" t="s">
        <v>122</v>
      </c>
      <c r="D106" s="15">
        <f>12+4</f>
        <v>16</v>
      </c>
      <c r="E106" s="31"/>
      <c r="F106" s="36"/>
      <c r="G106" s="36"/>
      <c r="H106" s="37"/>
      <c r="I106" s="37"/>
      <c r="J106" s="24"/>
      <c r="K106" s="24"/>
    </row>
    <row r="107" spans="1:9" ht="12.75">
      <c r="A107" s="5" t="s">
        <v>39</v>
      </c>
      <c r="B107" s="5" t="s">
        <v>123</v>
      </c>
      <c r="C107" s="12" t="s">
        <v>122</v>
      </c>
      <c r="D107" s="15">
        <f>396+160+120+144+153+153+63+40+196+220+60+60+60+80</f>
        <v>1905</v>
      </c>
      <c r="E107" s="31"/>
      <c r="F107" s="36"/>
      <c r="G107" s="36"/>
      <c r="H107" s="37"/>
      <c r="I107" s="37"/>
    </row>
    <row r="108" spans="1:7" ht="12.75">
      <c r="A108" s="3"/>
      <c r="B108" s="3"/>
      <c r="C108" s="3"/>
      <c r="D108" s="14"/>
      <c r="E108" s="25"/>
      <c r="F108" s="23"/>
      <c r="G108" s="23"/>
    </row>
    <row r="109" spans="1:7" ht="12.75">
      <c r="A109" s="3"/>
      <c r="B109" s="3" t="s">
        <v>124</v>
      </c>
      <c r="C109" s="134" t="s">
        <v>176</v>
      </c>
      <c r="D109" s="135"/>
      <c r="E109" s="135"/>
      <c r="F109" s="23"/>
      <c r="G109" s="23"/>
    </row>
    <row r="110" spans="1:7" ht="12.75">
      <c r="A110" s="3"/>
      <c r="B110" s="3"/>
      <c r="C110" s="3"/>
      <c r="D110" s="14"/>
      <c r="E110" s="25"/>
      <c r="F110" s="23"/>
      <c r="G110" s="23"/>
    </row>
    <row r="111" spans="2:7" ht="12.75">
      <c r="B111" s="95" t="s">
        <v>197</v>
      </c>
      <c r="C111" t="s">
        <v>198</v>
      </c>
      <c r="D111" s="13"/>
      <c r="E111" s="23"/>
      <c r="F111" s="23"/>
      <c r="G111" s="23"/>
    </row>
  </sheetData>
  <mergeCells count="35">
    <mergeCell ref="A8:I8"/>
    <mergeCell ref="A9:I9"/>
    <mergeCell ref="A11:I11"/>
    <mergeCell ref="E6:I6"/>
    <mergeCell ref="E2:I2"/>
    <mergeCell ref="E3:I3"/>
    <mergeCell ref="E4:I4"/>
    <mergeCell ref="E5:I5"/>
    <mergeCell ref="C109:E109"/>
    <mergeCell ref="A103:D103"/>
    <mergeCell ref="B68:D68"/>
    <mergeCell ref="A76:D76"/>
    <mergeCell ref="A104:E104"/>
    <mergeCell ref="A85:D85"/>
    <mergeCell ref="A86:D86"/>
    <mergeCell ref="A91:D91"/>
    <mergeCell ref="A102:D102"/>
    <mergeCell ref="A92:D92"/>
    <mergeCell ref="A42:D42"/>
    <mergeCell ref="F13:F14"/>
    <mergeCell ref="G13:G14"/>
    <mergeCell ref="H13:H14"/>
    <mergeCell ref="B26:D26"/>
    <mergeCell ref="B29:D29"/>
    <mergeCell ref="A41:D41"/>
    <mergeCell ref="C13:C14"/>
    <mergeCell ref="D13:E13"/>
    <mergeCell ref="I13:I14"/>
    <mergeCell ref="A13:A14"/>
    <mergeCell ref="B13:B14"/>
    <mergeCell ref="B16:E16"/>
    <mergeCell ref="A93:A95"/>
    <mergeCell ref="A96:A98"/>
    <mergeCell ref="A99:A101"/>
    <mergeCell ref="B66:D66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2:K110"/>
  <sheetViews>
    <sheetView workbookViewId="0" topLeftCell="A88">
      <selection activeCell="M12" sqref="M12"/>
    </sheetView>
  </sheetViews>
  <sheetFormatPr defaultColWidth="9.00390625" defaultRowHeight="12.75"/>
  <cols>
    <col min="1" max="1" width="4.875" style="0" customWidth="1"/>
    <col min="2" max="2" width="59.375" style="0" customWidth="1"/>
    <col min="3" max="3" width="22.875" style="0" customWidth="1"/>
    <col min="5" max="5" width="10.75390625" style="0" bestFit="1" customWidth="1"/>
    <col min="6" max="6" width="9.125" style="24" customWidth="1"/>
    <col min="7" max="7" width="8.25390625" style="24" customWidth="1"/>
    <col min="8" max="8" width="9.125" style="24" customWidth="1"/>
    <col min="9" max="9" width="8.00390625" style="24" customWidth="1"/>
  </cols>
  <sheetData>
    <row r="2" spans="1:9" ht="12.75">
      <c r="A2" s="24"/>
      <c r="B2" s="190" t="s">
        <v>207</v>
      </c>
      <c r="C2" s="24"/>
      <c r="D2" s="24"/>
      <c r="E2" s="173" t="s">
        <v>159</v>
      </c>
      <c r="F2" s="173"/>
      <c r="G2" s="173"/>
      <c r="H2" s="173"/>
      <c r="I2" s="173"/>
    </row>
    <row r="3" spans="1:9" ht="12.75">
      <c r="A3" s="24"/>
      <c r="B3" s="191" t="s">
        <v>204</v>
      </c>
      <c r="C3" s="24"/>
      <c r="D3" s="24"/>
      <c r="E3" s="173" t="s">
        <v>192</v>
      </c>
      <c r="F3" s="173"/>
      <c r="G3" s="173"/>
      <c r="H3" s="173"/>
      <c r="I3" s="173"/>
    </row>
    <row r="4" spans="1:9" ht="12.75">
      <c r="A4" s="24"/>
      <c r="B4" s="191" t="s">
        <v>218</v>
      </c>
      <c r="C4" s="24"/>
      <c r="D4" s="24"/>
      <c r="E4" s="173" t="s">
        <v>160</v>
      </c>
      <c r="F4" s="173"/>
      <c r="G4" s="173"/>
      <c r="H4" s="173"/>
      <c r="I4" s="173"/>
    </row>
    <row r="5" spans="1:9" ht="12.75">
      <c r="A5" s="24"/>
      <c r="B5" s="24"/>
      <c r="C5" s="24"/>
      <c r="D5" s="24"/>
      <c r="E5" s="174" t="s">
        <v>193</v>
      </c>
      <c r="F5" s="173"/>
      <c r="G5" s="173"/>
      <c r="H5" s="173"/>
      <c r="I5" s="173"/>
    </row>
    <row r="6" spans="1:5" ht="12.75">
      <c r="A6" s="24"/>
      <c r="B6" s="24"/>
      <c r="C6" s="24"/>
      <c r="D6" s="24"/>
      <c r="E6" s="24"/>
    </row>
    <row r="7" spans="1:9" ht="12.75">
      <c r="A7" s="158" t="s">
        <v>125</v>
      </c>
      <c r="B7" s="158"/>
      <c r="C7" s="158"/>
      <c r="D7" s="158"/>
      <c r="E7" s="158"/>
      <c r="F7" s="158"/>
      <c r="G7" s="158"/>
      <c r="H7" s="158"/>
      <c r="I7" s="158"/>
    </row>
    <row r="8" spans="1:9" ht="12.75">
      <c r="A8" s="159" t="s">
        <v>162</v>
      </c>
      <c r="B8" s="158"/>
      <c r="C8" s="158"/>
      <c r="D8" s="158"/>
      <c r="E8" s="158"/>
      <c r="F8" s="158"/>
      <c r="G8" s="158"/>
      <c r="H8" s="158"/>
      <c r="I8" s="158"/>
    </row>
    <row r="9" spans="1:9" ht="12.75">
      <c r="A9" s="70"/>
      <c r="B9" s="2"/>
      <c r="C9" s="2"/>
      <c r="D9" s="2"/>
      <c r="E9" s="2"/>
      <c r="F9" s="75"/>
      <c r="G9" s="2"/>
      <c r="H9" s="2"/>
      <c r="I9" s="2"/>
    </row>
    <row r="10" spans="1:9" ht="12.75">
      <c r="A10" s="160" t="s">
        <v>178</v>
      </c>
      <c r="B10" s="160"/>
      <c r="C10" s="160"/>
      <c r="D10" s="160"/>
      <c r="E10" s="160"/>
      <c r="F10" s="160"/>
      <c r="G10" s="160"/>
      <c r="H10" s="160"/>
      <c r="I10" s="160"/>
    </row>
    <row r="11" spans="1:7" ht="12.75">
      <c r="A11" s="48"/>
      <c r="B11" s="47"/>
      <c r="C11" s="47"/>
      <c r="D11" s="47"/>
      <c r="E11" s="47"/>
      <c r="F11" s="23"/>
      <c r="G11" s="23"/>
    </row>
    <row r="12" spans="1:9" ht="12.75">
      <c r="A12" s="131" t="s">
        <v>0</v>
      </c>
      <c r="B12" s="131" t="s">
        <v>1</v>
      </c>
      <c r="C12" s="131" t="s">
        <v>2</v>
      </c>
      <c r="D12" s="132" t="s">
        <v>3</v>
      </c>
      <c r="E12" s="133"/>
      <c r="F12" s="153" t="s">
        <v>139</v>
      </c>
      <c r="G12" s="153" t="s">
        <v>140</v>
      </c>
      <c r="H12" s="155" t="s">
        <v>141</v>
      </c>
      <c r="I12" s="155" t="s">
        <v>142</v>
      </c>
    </row>
    <row r="13" spans="1:9" ht="38.25">
      <c r="A13" s="131"/>
      <c r="B13" s="131"/>
      <c r="C13" s="131"/>
      <c r="D13" s="17" t="s">
        <v>4</v>
      </c>
      <c r="E13" s="30" t="s">
        <v>5</v>
      </c>
      <c r="F13" s="154"/>
      <c r="G13" s="154"/>
      <c r="H13" s="156"/>
      <c r="I13" s="156"/>
    </row>
    <row r="14" spans="1:9" ht="12.75">
      <c r="A14" s="51" t="s">
        <v>6</v>
      </c>
      <c r="B14" s="51"/>
      <c r="C14" s="39"/>
      <c r="D14" s="52"/>
      <c r="E14" s="31"/>
      <c r="F14" s="36"/>
      <c r="G14" s="36"/>
      <c r="H14" s="37"/>
      <c r="I14" s="37"/>
    </row>
    <row r="15" spans="1:9" ht="12.75">
      <c r="A15" s="5" t="s">
        <v>7</v>
      </c>
      <c r="B15" s="129" t="s">
        <v>8</v>
      </c>
      <c r="C15" s="129"/>
      <c r="D15" s="129"/>
      <c r="E15" s="130"/>
      <c r="F15" s="36"/>
      <c r="G15" s="36"/>
      <c r="H15" s="37"/>
      <c r="I15" s="37"/>
    </row>
    <row r="16" spans="1:9" ht="12.75">
      <c r="A16" s="6" t="s">
        <v>9</v>
      </c>
      <c r="B16" s="6" t="s">
        <v>10</v>
      </c>
      <c r="C16" s="7" t="s">
        <v>11</v>
      </c>
      <c r="D16" s="18">
        <v>1</v>
      </c>
      <c r="E16" s="32">
        <f>D16*0.7</f>
        <v>0.7</v>
      </c>
      <c r="F16" s="36"/>
      <c r="G16" s="36">
        <f>E16/2</f>
        <v>0.35</v>
      </c>
      <c r="H16" s="36">
        <f>E16-G16</f>
        <v>0.35</v>
      </c>
      <c r="I16" s="37"/>
    </row>
    <row r="17" spans="1:9" ht="12.75">
      <c r="A17" s="6" t="s">
        <v>12</v>
      </c>
      <c r="B17" s="8" t="s">
        <v>13</v>
      </c>
      <c r="C17" s="7" t="s">
        <v>14</v>
      </c>
      <c r="D17" s="18"/>
      <c r="E17" s="32"/>
      <c r="F17" s="36"/>
      <c r="G17" s="36"/>
      <c r="H17" s="36"/>
      <c r="I17" s="37"/>
    </row>
    <row r="18" spans="1:9" s="24" customFormat="1" ht="12.75">
      <c r="A18" s="20" t="s">
        <v>15</v>
      </c>
      <c r="B18" s="21" t="s">
        <v>16</v>
      </c>
      <c r="C18" s="22" t="s">
        <v>14</v>
      </c>
      <c r="D18" s="18">
        <v>7.4</v>
      </c>
      <c r="E18" s="32">
        <f>D18*0.4</f>
        <v>2.9600000000000004</v>
      </c>
      <c r="F18" s="36"/>
      <c r="G18" s="36">
        <f>E18/2</f>
        <v>1.4800000000000002</v>
      </c>
      <c r="H18" s="36">
        <f>E18-G18</f>
        <v>1.4800000000000002</v>
      </c>
      <c r="I18" s="37"/>
    </row>
    <row r="19" spans="1:9" ht="25.5">
      <c r="A19" s="6" t="s">
        <v>17</v>
      </c>
      <c r="B19" s="8" t="s">
        <v>18</v>
      </c>
      <c r="C19" s="7" t="s">
        <v>14</v>
      </c>
      <c r="D19" s="18">
        <v>7.4</v>
      </c>
      <c r="E19" s="32">
        <f>D19*0.4</f>
        <v>2.9600000000000004</v>
      </c>
      <c r="F19" s="36"/>
      <c r="G19" s="36">
        <f>E19/2</f>
        <v>1.4800000000000002</v>
      </c>
      <c r="H19" s="36">
        <f>E19-G19</f>
        <v>1.4800000000000002</v>
      </c>
      <c r="I19" s="37"/>
    </row>
    <row r="20" spans="1:9" ht="25.5">
      <c r="A20" s="6" t="s">
        <v>19</v>
      </c>
      <c r="B20" s="8" t="s">
        <v>20</v>
      </c>
      <c r="C20" s="7" t="s">
        <v>14</v>
      </c>
      <c r="D20" s="18">
        <v>7.4</v>
      </c>
      <c r="E20" s="32">
        <f>D20*0.3</f>
        <v>2.22</v>
      </c>
      <c r="F20" s="36"/>
      <c r="G20" s="36">
        <f>E20/2</f>
        <v>1.11</v>
      </c>
      <c r="H20" s="36">
        <f>E20-G20</f>
        <v>1.11</v>
      </c>
      <c r="I20" s="37"/>
    </row>
    <row r="21" spans="1:9" ht="12.75">
      <c r="A21" s="6" t="s">
        <v>21</v>
      </c>
      <c r="B21" s="8" t="s">
        <v>22</v>
      </c>
      <c r="C21" s="7" t="s">
        <v>14</v>
      </c>
      <c r="D21" s="18">
        <v>7.4</v>
      </c>
      <c r="E21" s="32">
        <f>D21*0.4</f>
        <v>2.9600000000000004</v>
      </c>
      <c r="F21" s="36"/>
      <c r="G21" s="36">
        <f>E21/2</f>
        <v>1.4800000000000002</v>
      </c>
      <c r="H21" s="36">
        <f>E21-G21</f>
        <v>1.4800000000000002</v>
      </c>
      <c r="I21" s="37"/>
    </row>
    <row r="22" spans="1:9" ht="12.75">
      <c r="A22" s="6" t="s">
        <v>23</v>
      </c>
      <c r="B22" s="6" t="s">
        <v>24</v>
      </c>
      <c r="C22" s="7" t="s">
        <v>25</v>
      </c>
      <c r="D22" s="18"/>
      <c r="E22" s="32"/>
      <c r="F22" s="36"/>
      <c r="G22" s="36"/>
      <c r="H22" s="37"/>
      <c r="I22" s="37"/>
    </row>
    <row r="23" spans="1:9" ht="25.5">
      <c r="A23" s="6" t="s">
        <v>26</v>
      </c>
      <c r="B23" s="8" t="s">
        <v>27</v>
      </c>
      <c r="C23" s="7" t="s">
        <v>25</v>
      </c>
      <c r="D23" s="16"/>
      <c r="E23" s="32"/>
      <c r="F23" s="36"/>
      <c r="G23" s="36"/>
      <c r="H23" s="37"/>
      <c r="I23" s="37"/>
    </row>
    <row r="24" spans="1:9" ht="25.5">
      <c r="A24" s="6" t="s">
        <v>28</v>
      </c>
      <c r="B24" s="8" t="s">
        <v>29</v>
      </c>
      <c r="C24" s="7" t="s">
        <v>30</v>
      </c>
      <c r="D24" s="16"/>
      <c r="E24" s="32"/>
      <c r="F24" s="36"/>
      <c r="G24" s="36"/>
      <c r="H24" s="37"/>
      <c r="I24" s="37"/>
    </row>
    <row r="25" spans="1:9" ht="12.75">
      <c r="A25" s="6" t="s">
        <v>31</v>
      </c>
      <c r="B25" s="127" t="s">
        <v>32</v>
      </c>
      <c r="C25" s="128"/>
      <c r="D25" s="128"/>
      <c r="E25" s="26"/>
      <c r="F25" s="36"/>
      <c r="G25" s="36"/>
      <c r="H25" s="37"/>
      <c r="I25" s="37"/>
    </row>
    <row r="26" spans="1:9" ht="12.75">
      <c r="A26" s="6" t="s">
        <v>33</v>
      </c>
      <c r="B26" s="8" t="s">
        <v>34</v>
      </c>
      <c r="C26" s="9" t="s">
        <v>35</v>
      </c>
      <c r="D26" s="16"/>
      <c r="E26" s="32"/>
      <c r="F26" s="36"/>
      <c r="G26" s="36"/>
      <c r="H26" s="37"/>
      <c r="I26" s="37"/>
    </row>
    <row r="27" spans="1:9" ht="12.75">
      <c r="A27" s="6" t="s">
        <v>36</v>
      </c>
      <c r="B27" s="6" t="s">
        <v>37</v>
      </c>
      <c r="C27" s="9" t="s">
        <v>38</v>
      </c>
      <c r="D27" s="16"/>
      <c r="E27" s="32"/>
      <c r="F27" s="36"/>
      <c r="G27" s="36"/>
      <c r="H27" s="37"/>
      <c r="I27" s="37"/>
    </row>
    <row r="28" spans="1:9" ht="12.75">
      <c r="A28" s="6" t="s">
        <v>39</v>
      </c>
      <c r="B28" s="127" t="s">
        <v>32</v>
      </c>
      <c r="C28" s="128"/>
      <c r="D28" s="128"/>
      <c r="E28" s="26"/>
      <c r="F28" s="36"/>
      <c r="G28" s="36"/>
      <c r="H28" s="37"/>
      <c r="I28" s="37"/>
    </row>
    <row r="29" spans="1:9" ht="12.75">
      <c r="A29" s="6" t="s">
        <v>40</v>
      </c>
      <c r="B29" s="27" t="s">
        <v>138</v>
      </c>
      <c r="C29" s="9" t="s">
        <v>38</v>
      </c>
      <c r="D29" s="16">
        <v>2</v>
      </c>
      <c r="E29" s="32">
        <f>D29*0.1</f>
        <v>0.2</v>
      </c>
      <c r="F29" s="36">
        <v>0.1</v>
      </c>
      <c r="G29" s="36"/>
      <c r="H29" s="37"/>
      <c r="I29" s="37">
        <v>0.1</v>
      </c>
    </row>
    <row r="30" spans="1:9" ht="12.75">
      <c r="A30" s="6" t="s">
        <v>41</v>
      </c>
      <c r="B30" s="6" t="s">
        <v>42</v>
      </c>
      <c r="C30" s="9"/>
      <c r="D30" s="16"/>
      <c r="E30" s="32"/>
      <c r="F30" s="36"/>
      <c r="G30" s="36"/>
      <c r="H30" s="37"/>
      <c r="I30" s="37"/>
    </row>
    <row r="31" spans="1:11" s="24" customFormat="1" ht="12.75">
      <c r="A31" s="20"/>
      <c r="B31" s="20" t="s">
        <v>43</v>
      </c>
      <c r="C31" s="54" t="s">
        <v>44</v>
      </c>
      <c r="D31" s="18">
        <v>2</v>
      </c>
      <c r="E31" s="32">
        <f>D31*0.05</f>
        <v>0.1</v>
      </c>
      <c r="F31" s="36">
        <v>0.05</v>
      </c>
      <c r="G31" s="36"/>
      <c r="H31" s="37"/>
      <c r="I31" s="37">
        <v>0.05</v>
      </c>
      <c r="J31"/>
      <c r="K31"/>
    </row>
    <row r="32" spans="1:11" s="24" customFormat="1" ht="12.75">
      <c r="A32" s="20"/>
      <c r="B32" s="20" t="s">
        <v>45</v>
      </c>
      <c r="C32" s="54" t="s">
        <v>46</v>
      </c>
      <c r="D32" s="18"/>
      <c r="E32" s="32"/>
      <c r="F32" s="36"/>
      <c r="G32" s="36"/>
      <c r="H32" s="37"/>
      <c r="I32" s="37"/>
      <c r="J32"/>
      <c r="K32"/>
    </row>
    <row r="33" spans="1:11" s="24" customFormat="1" ht="12.75">
      <c r="A33" s="20" t="s">
        <v>47</v>
      </c>
      <c r="B33" s="20" t="s">
        <v>48</v>
      </c>
      <c r="C33" s="54"/>
      <c r="D33" s="18"/>
      <c r="E33" s="32"/>
      <c r="F33" s="36"/>
      <c r="G33" s="36"/>
      <c r="H33" s="37"/>
      <c r="I33" s="37"/>
      <c r="J33"/>
      <c r="K33"/>
    </row>
    <row r="34" spans="1:11" s="24" customFormat="1" ht="12.75">
      <c r="A34" s="20"/>
      <c r="B34" s="20" t="s">
        <v>49</v>
      </c>
      <c r="C34" s="54" t="s">
        <v>50</v>
      </c>
      <c r="D34" s="18"/>
      <c r="E34" s="32"/>
      <c r="F34" s="36"/>
      <c r="G34" s="36"/>
      <c r="H34" s="37"/>
      <c r="I34" s="37"/>
      <c r="J34"/>
      <c r="K34"/>
    </row>
    <row r="35" spans="1:11" s="24" customFormat="1" ht="12.75">
      <c r="A35" s="20"/>
      <c r="B35" s="20" t="s">
        <v>51</v>
      </c>
      <c r="C35" s="54" t="s">
        <v>50</v>
      </c>
      <c r="D35" s="18"/>
      <c r="E35" s="32"/>
      <c r="F35" s="36"/>
      <c r="G35" s="36"/>
      <c r="H35" s="37"/>
      <c r="I35" s="37"/>
      <c r="J35"/>
      <c r="K35"/>
    </row>
    <row r="36" spans="1:11" s="24" customFormat="1" ht="12.75">
      <c r="A36" s="20" t="s">
        <v>52</v>
      </c>
      <c r="B36" s="20" t="s">
        <v>53</v>
      </c>
      <c r="C36" s="54" t="s">
        <v>54</v>
      </c>
      <c r="D36" s="18">
        <v>500</v>
      </c>
      <c r="E36" s="32">
        <f>D36*0.0134</f>
        <v>6.7</v>
      </c>
      <c r="F36" s="36">
        <v>6.7</v>
      </c>
      <c r="G36" s="36"/>
      <c r="H36" s="37"/>
      <c r="I36" s="37"/>
      <c r="J36"/>
      <c r="K36"/>
    </row>
    <row r="37" spans="1:11" s="24" customFormat="1" ht="12.75">
      <c r="A37" s="20" t="s">
        <v>99</v>
      </c>
      <c r="B37" s="20" t="s">
        <v>129</v>
      </c>
      <c r="C37" s="54" t="s">
        <v>130</v>
      </c>
      <c r="D37" s="18">
        <v>6</v>
      </c>
      <c r="E37" s="32">
        <f>D37*0.7</f>
        <v>4.199999999999999</v>
      </c>
      <c r="F37" s="36">
        <v>4.2</v>
      </c>
      <c r="G37" s="36"/>
      <c r="H37" s="37"/>
      <c r="I37" s="37"/>
      <c r="J37"/>
      <c r="K37"/>
    </row>
    <row r="38" spans="1:11" s="24" customFormat="1" ht="12.75">
      <c r="A38" s="20" t="s">
        <v>102</v>
      </c>
      <c r="B38" s="20" t="s">
        <v>131</v>
      </c>
      <c r="C38" s="54" t="s">
        <v>132</v>
      </c>
      <c r="D38" s="18">
        <v>0</v>
      </c>
      <c r="E38" s="32">
        <v>0</v>
      </c>
      <c r="F38" s="36"/>
      <c r="G38" s="36"/>
      <c r="H38" s="37"/>
      <c r="I38" s="37"/>
      <c r="J38"/>
      <c r="K38"/>
    </row>
    <row r="39" spans="1:11" s="24" customFormat="1" ht="12.75">
      <c r="A39" s="55" t="s">
        <v>103</v>
      </c>
      <c r="B39" s="21" t="s">
        <v>133</v>
      </c>
      <c r="C39" s="22" t="s">
        <v>61</v>
      </c>
      <c r="D39" s="18">
        <v>60</v>
      </c>
      <c r="E39" s="32">
        <f>2.7*4</f>
        <v>10.8</v>
      </c>
      <c r="F39" s="36">
        <f>E39/4</f>
        <v>2.7</v>
      </c>
      <c r="G39" s="36">
        <v>2.7</v>
      </c>
      <c r="H39" s="37">
        <v>2.7</v>
      </c>
      <c r="I39" s="36">
        <f>E39-F39-G39-H39</f>
        <v>2.700000000000001</v>
      </c>
      <c r="J39"/>
      <c r="K39"/>
    </row>
    <row r="40" spans="1:11" s="24" customFormat="1" ht="12.75">
      <c r="A40" s="142" t="s">
        <v>145</v>
      </c>
      <c r="B40" s="140"/>
      <c r="C40" s="140"/>
      <c r="D40" s="141"/>
      <c r="E40" s="40">
        <f>SUM(E16:E39)</f>
        <v>33.8</v>
      </c>
      <c r="F40" s="41">
        <f>SUM(F16:F39)</f>
        <v>13.75</v>
      </c>
      <c r="G40" s="41">
        <f>SUM(G16:G39)</f>
        <v>8.600000000000001</v>
      </c>
      <c r="H40" s="42">
        <f>SUM(H16:H39)</f>
        <v>8.600000000000001</v>
      </c>
      <c r="I40" s="42">
        <f>SUM(I16:I39)</f>
        <v>2.850000000000001</v>
      </c>
      <c r="J40" s="71">
        <f>F40+G40+H40+I40</f>
        <v>33.800000000000004</v>
      </c>
      <c r="K40" s="43"/>
    </row>
    <row r="41" spans="1:9" s="24" customFormat="1" ht="12.75">
      <c r="A41" s="147" t="s">
        <v>55</v>
      </c>
      <c r="B41" s="148"/>
      <c r="C41" s="148"/>
      <c r="D41" s="149"/>
      <c r="E41" s="39"/>
      <c r="F41" s="36"/>
      <c r="G41" s="36"/>
      <c r="H41" s="37"/>
      <c r="I41" s="37"/>
    </row>
    <row r="42" spans="1:9" s="24" customFormat="1" ht="12.75">
      <c r="A42" s="53" t="s">
        <v>7</v>
      </c>
      <c r="B42" s="56" t="s">
        <v>8</v>
      </c>
      <c r="C42" s="20"/>
      <c r="D42" s="18"/>
      <c r="E42" s="32"/>
      <c r="F42" s="36"/>
      <c r="G42" s="36"/>
      <c r="H42" s="37"/>
      <c r="I42" s="37"/>
    </row>
    <row r="43" spans="1:9" s="24" customFormat="1" ht="12.75">
      <c r="A43" s="20" t="s">
        <v>9</v>
      </c>
      <c r="B43" s="20" t="s">
        <v>56</v>
      </c>
      <c r="C43" s="20"/>
      <c r="D43" s="18"/>
      <c r="E43" s="32"/>
      <c r="F43" s="36"/>
      <c r="G43" s="36"/>
      <c r="H43" s="37"/>
      <c r="I43" s="37"/>
    </row>
    <row r="44" spans="1:9" s="24" customFormat="1" ht="12.75">
      <c r="A44" s="20"/>
      <c r="B44" s="20" t="s">
        <v>57</v>
      </c>
      <c r="C44" s="22" t="s">
        <v>14</v>
      </c>
      <c r="D44" s="18">
        <v>0</v>
      </c>
      <c r="E44" s="32">
        <f>D44*1.1</f>
        <v>0</v>
      </c>
      <c r="F44" s="36"/>
      <c r="G44" s="36"/>
      <c r="H44" s="37"/>
      <c r="I44" s="36"/>
    </row>
    <row r="45" spans="1:9" s="24" customFormat="1" ht="25.5">
      <c r="A45" s="20"/>
      <c r="B45" s="20" t="s">
        <v>58</v>
      </c>
      <c r="C45" s="22" t="s">
        <v>59</v>
      </c>
      <c r="D45" s="18">
        <v>0</v>
      </c>
      <c r="E45" s="32">
        <f>D45*0.4</f>
        <v>0</v>
      </c>
      <c r="F45" s="36"/>
      <c r="G45" s="36"/>
      <c r="H45" s="37"/>
      <c r="I45" s="37"/>
    </row>
    <row r="46" spans="1:9" s="24" customFormat="1" ht="12.75">
      <c r="A46" s="20" t="s">
        <v>12</v>
      </c>
      <c r="B46" s="21" t="s">
        <v>60</v>
      </c>
      <c r="C46" s="22" t="s">
        <v>61</v>
      </c>
      <c r="D46" s="18">
        <v>15</v>
      </c>
      <c r="E46" s="32">
        <f>0.1*D46</f>
        <v>1.5</v>
      </c>
      <c r="F46" s="36">
        <f>E46/4</f>
        <v>0.375</v>
      </c>
      <c r="G46" s="36">
        <v>0.38</v>
      </c>
      <c r="H46" s="37">
        <v>0.38</v>
      </c>
      <c r="I46" s="36">
        <f>E46-F46-G46-H46</f>
        <v>0.365</v>
      </c>
    </row>
    <row r="47" spans="1:9" s="24" customFormat="1" ht="25.5">
      <c r="A47" s="20" t="s">
        <v>15</v>
      </c>
      <c r="B47" s="21" t="s">
        <v>62</v>
      </c>
      <c r="C47" s="22"/>
      <c r="D47" s="18"/>
      <c r="E47" s="32"/>
      <c r="F47" s="36"/>
      <c r="G47" s="36"/>
      <c r="H47" s="37"/>
      <c r="I47" s="37"/>
    </row>
    <row r="48" spans="1:11" s="24" customFormat="1" ht="12.75">
      <c r="A48" s="20"/>
      <c r="B48" s="20" t="s">
        <v>57</v>
      </c>
      <c r="C48" s="22" t="s">
        <v>14</v>
      </c>
      <c r="D48" s="18">
        <v>1.2</v>
      </c>
      <c r="E48" s="32">
        <f>D48*0.9</f>
        <v>1.08</v>
      </c>
      <c r="F48" s="36">
        <f>E48/4</f>
        <v>0.27</v>
      </c>
      <c r="G48" s="36">
        <v>0.27</v>
      </c>
      <c r="H48" s="37">
        <v>0.27</v>
      </c>
      <c r="I48" s="36">
        <f>E48-F48-G48-H48</f>
        <v>0.27</v>
      </c>
      <c r="J48"/>
      <c r="K48"/>
    </row>
    <row r="49" spans="1:9" s="24" customFormat="1" ht="12.75">
      <c r="A49" s="20"/>
      <c r="B49" s="20" t="s">
        <v>63</v>
      </c>
      <c r="C49" s="22" t="s">
        <v>136</v>
      </c>
      <c r="D49" s="18">
        <v>10</v>
      </c>
      <c r="E49" s="32">
        <f>D49*0.01</f>
        <v>0.1</v>
      </c>
      <c r="F49" s="36">
        <f>E49/4</f>
        <v>0.025</v>
      </c>
      <c r="G49" s="36">
        <v>0.03</v>
      </c>
      <c r="H49" s="37">
        <v>0.03</v>
      </c>
      <c r="I49" s="36">
        <f>E49-F49-G49-H49</f>
        <v>0.015000000000000013</v>
      </c>
    </row>
    <row r="50" spans="1:9" s="24" customFormat="1" ht="12.75">
      <c r="A50" s="20"/>
      <c r="B50" s="57" t="s">
        <v>158</v>
      </c>
      <c r="C50" s="22" t="s">
        <v>64</v>
      </c>
      <c r="D50" s="18"/>
      <c r="E50" s="32"/>
      <c r="F50" s="36"/>
      <c r="G50" s="36"/>
      <c r="H50" s="37"/>
      <c r="I50" s="37"/>
    </row>
    <row r="51" spans="1:9" s="24" customFormat="1" ht="12.75">
      <c r="A51" s="20" t="s">
        <v>17</v>
      </c>
      <c r="B51" s="20" t="s">
        <v>65</v>
      </c>
      <c r="C51" s="22" t="s">
        <v>66</v>
      </c>
      <c r="D51" s="18">
        <v>30</v>
      </c>
      <c r="E51" s="32">
        <f>D51*0.025</f>
        <v>0.75</v>
      </c>
      <c r="F51" s="36">
        <f>E51/4</f>
        <v>0.1875</v>
      </c>
      <c r="G51" s="36">
        <v>0.19</v>
      </c>
      <c r="H51" s="37">
        <v>0.19</v>
      </c>
      <c r="I51" s="36">
        <f>E51-F51-G51-H51</f>
        <v>0.1825</v>
      </c>
    </row>
    <row r="52" spans="1:9" s="24" customFormat="1" ht="12.75">
      <c r="A52" s="20" t="s">
        <v>19</v>
      </c>
      <c r="B52" s="20" t="s">
        <v>67</v>
      </c>
      <c r="C52" s="22" t="s">
        <v>68</v>
      </c>
      <c r="D52" s="18">
        <v>15</v>
      </c>
      <c r="E52" s="32">
        <f>D52*0.04</f>
        <v>0.6</v>
      </c>
      <c r="F52" s="36">
        <f>E52/4</f>
        <v>0.15</v>
      </c>
      <c r="G52" s="36">
        <v>0.15</v>
      </c>
      <c r="H52" s="37">
        <v>0.15</v>
      </c>
      <c r="I52" s="36">
        <f>E52-F52-G52-H52</f>
        <v>0.14999999999999994</v>
      </c>
    </row>
    <row r="53" spans="1:9" s="24" customFormat="1" ht="12.75">
      <c r="A53" s="20" t="s">
        <v>21</v>
      </c>
      <c r="B53" s="20" t="s">
        <v>69</v>
      </c>
      <c r="C53" s="22" t="s">
        <v>87</v>
      </c>
      <c r="D53" s="18">
        <v>30</v>
      </c>
      <c r="E53" s="32">
        <f>D53*0.068</f>
        <v>2.04</v>
      </c>
      <c r="F53" s="36">
        <f>E53/4</f>
        <v>0.51</v>
      </c>
      <c r="G53" s="36">
        <v>0.51</v>
      </c>
      <c r="H53" s="37">
        <v>0.51</v>
      </c>
      <c r="I53" s="36">
        <f>E53-F53-G53-H53</f>
        <v>0.51</v>
      </c>
    </row>
    <row r="54" spans="1:9" s="24" customFormat="1" ht="25.5">
      <c r="A54" s="46" t="s">
        <v>23</v>
      </c>
      <c r="B54" s="21" t="s">
        <v>71</v>
      </c>
      <c r="C54" s="22" t="s">
        <v>72</v>
      </c>
      <c r="D54" s="18">
        <v>15</v>
      </c>
      <c r="E54" s="32">
        <f>D54*0.05</f>
        <v>0.75</v>
      </c>
      <c r="F54" s="36">
        <f>E54/4</f>
        <v>0.1875</v>
      </c>
      <c r="G54" s="36">
        <v>0.19</v>
      </c>
      <c r="H54" s="37">
        <v>0.19</v>
      </c>
      <c r="I54" s="36">
        <f>E54-F54-G54-H54</f>
        <v>0.1825</v>
      </c>
    </row>
    <row r="55" spans="1:9" s="24" customFormat="1" ht="12.75">
      <c r="A55" s="20" t="s">
        <v>73</v>
      </c>
      <c r="B55" s="20" t="s">
        <v>74</v>
      </c>
      <c r="C55" s="22" t="s">
        <v>75</v>
      </c>
      <c r="D55" s="18">
        <v>0</v>
      </c>
      <c r="E55" s="32">
        <f>D55*0.1</f>
        <v>0</v>
      </c>
      <c r="F55" s="36"/>
      <c r="G55" s="36"/>
      <c r="H55" s="37"/>
      <c r="I55" s="37"/>
    </row>
    <row r="56" spans="1:9" s="24" customFormat="1" ht="25.5">
      <c r="A56" s="20" t="s">
        <v>26</v>
      </c>
      <c r="B56" s="21" t="s">
        <v>77</v>
      </c>
      <c r="C56" s="22" t="s">
        <v>68</v>
      </c>
      <c r="D56" s="18">
        <v>20</v>
      </c>
      <c r="E56" s="32">
        <f>D56*0.032</f>
        <v>0.64</v>
      </c>
      <c r="F56" s="36">
        <f>E56/4</f>
        <v>0.16</v>
      </c>
      <c r="G56" s="36">
        <v>0.16</v>
      </c>
      <c r="H56" s="37">
        <v>0.16</v>
      </c>
      <c r="I56" s="36">
        <f>E56-F56-G56-H56</f>
        <v>0.15999999999999995</v>
      </c>
    </row>
    <row r="57" spans="1:9" s="24" customFormat="1" ht="25.5">
      <c r="A57" s="20" t="s">
        <v>28</v>
      </c>
      <c r="B57" s="21" t="s">
        <v>79</v>
      </c>
      <c r="C57" s="22" t="s">
        <v>80</v>
      </c>
      <c r="D57" s="18"/>
      <c r="E57" s="32"/>
      <c r="F57" s="36"/>
      <c r="G57" s="36"/>
      <c r="H57" s="37"/>
      <c r="I57" s="37"/>
    </row>
    <row r="58" spans="1:9" s="24" customFormat="1" ht="12.75">
      <c r="A58" s="20" t="s">
        <v>70</v>
      </c>
      <c r="B58" s="21" t="s">
        <v>82</v>
      </c>
      <c r="C58" s="22" t="s">
        <v>83</v>
      </c>
      <c r="D58" s="18">
        <v>30</v>
      </c>
      <c r="E58" s="32">
        <f>D58*0.02</f>
        <v>0.6</v>
      </c>
      <c r="F58" s="36">
        <f>E58/4</f>
        <v>0.15</v>
      </c>
      <c r="G58" s="36">
        <v>0.15</v>
      </c>
      <c r="H58" s="37">
        <v>0.15</v>
      </c>
      <c r="I58" s="36">
        <f>E58-F58-G58-H58</f>
        <v>0.14999999999999994</v>
      </c>
    </row>
    <row r="59" spans="1:9" s="24" customFormat="1" ht="12.75">
      <c r="A59" s="20" t="s">
        <v>73</v>
      </c>
      <c r="B59" s="21" t="s">
        <v>154</v>
      </c>
      <c r="C59" s="22" t="s">
        <v>144</v>
      </c>
      <c r="D59" s="18">
        <v>20</v>
      </c>
      <c r="E59" s="32">
        <f>D59*0.128</f>
        <v>2.56</v>
      </c>
      <c r="F59" s="36">
        <f>E59/4</f>
        <v>0.64</v>
      </c>
      <c r="G59" s="36">
        <v>0.64</v>
      </c>
      <c r="H59" s="37">
        <v>0.64</v>
      </c>
      <c r="I59" s="37">
        <v>0.64</v>
      </c>
    </row>
    <row r="60" spans="1:9" s="24" customFormat="1" ht="12.75">
      <c r="A60" s="20" t="s">
        <v>76</v>
      </c>
      <c r="B60" s="21" t="s">
        <v>155</v>
      </c>
      <c r="C60" s="22" t="s">
        <v>144</v>
      </c>
      <c r="D60" s="18">
        <v>20</v>
      </c>
      <c r="E60" s="32">
        <f>D60*0.152</f>
        <v>3.04</v>
      </c>
      <c r="F60" s="36">
        <f>E60/4</f>
        <v>0.76</v>
      </c>
      <c r="G60" s="36">
        <v>0.76</v>
      </c>
      <c r="H60" s="37">
        <v>0.76</v>
      </c>
      <c r="I60" s="37">
        <v>0.76</v>
      </c>
    </row>
    <row r="61" spans="1:9" s="24" customFormat="1" ht="15" customHeight="1">
      <c r="A61" s="46" t="s">
        <v>78</v>
      </c>
      <c r="B61" s="21" t="s">
        <v>84</v>
      </c>
      <c r="C61" s="22" t="s">
        <v>85</v>
      </c>
      <c r="D61" s="18">
        <v>5</v>
      </c>
      <c r="E61" s="32">
        <f>D61*0.1</f>
        <v>0.5</v>
      </c>
      <c r="F61" s="36"/>
      <c r="G61" s="36">
        <v>0.25</v>
      </c>
      <c r="H61" s="37">
        <v>0.25</v>
      </c>
      <c r="I61" s="36"/>
    </row>
    <row r="62" spans="1:9" s="24" customFormat="1" ht="12.75">
      <c r="A62" s="46" t="s">
        <v>81</v>
      </c>
      <c r="B62" s="21" t="s">
        <v>86</v>
      </c>
      <c r="C62" s="22" t="s">
        <v>87</v>
      </c>
      <c r="D62" s="18">
        <v>0</v>
      </c>
      <c r="E62" s="32">
        <f>D62*0.03</f>
        <v>0</v>
      </c>
      <c r="F62" s="36"/>
      <c r="G62" s="36"/>
      <c r="H62" s="37"/>
      <c r="I62" s="37"/>
    </row>
    <row r="63" spans="1:9" s="24" customFormat="1" ht="12.75">
      <c r="A63" s="46" t="s">
        <v>156</v>
      </c>
      <c r="B63" s="21" t="s">
        <v>88</v>
      </c>
      <c r="C63" s="22" t="s">
        <v>89</v>
      </c>
      <c r="D63" s="18">
        <v>0</v>
      </c>
      <c r="E63" s="32">
        <f>D63*0.02</f>
        <v>0</v>
      </c>
      <c r="F63" s="36"/>
      <c r="G63" s="36"/>
      <c r="H63" s="37"/>
      <c r="I63" s="37"/>
    </row>
    <row r="64" spans="1:9" s="24" customFormat="1" ht="12.75">
      <c r="A64" s="46" t="s">
        <v>157</v>
      </c>
      <c r="B64" s="37" t="s">
        <v>143</v>
      </c>
      <c r="C64" s="37" t="s">
        <v>144</v>
      </c>
      <c r="D64" s="37">
        <v>12</v>
      </c>
      <c r="E64" s="37">
        <f>D64*0.15</f>
        <v>1.7999999999999998</v>
      </c>
      <c r="F64" s="37">
        <f>E64/4</f>
        <v>0.44999999999999996</v>
      </c>
      <c r="G64" s="37">
        <v>0.45</v>
      </c>
      <c r="H64" s="37">
        <v>0.45</v>
      </c>
      <c r="I64" s="37">
        <f>E64-F64-G64-H64</f>
        <v>0.4499999999999999</v>
      </c>
    </row>
    <row r="65" spans="1:9" s="24" customFormat="1" ht="12.75">
      <c r="A65" s="20" t="s">
        <v>31</v>
      </c>
      <c r="B65" s="137" t="s">
        <v>32</v>
      </c>
      <c r="C65" s="138"/>
      <c r="D65" s="138"/>
      <c r="E65" s="26"/>
      <c r="F65" s="36"/>
      <c r="G65" s="36"/>
      <c r="H65" s="37"/>
      <c r="I65" s="37"/>
    </row>
    <row r="66" spans="1:9" s="24" customFormat="1" ht="12.75">
      <c r="A66" s="20" t="s">
        <v>33</v>
      </c>
      <c r="B66" s="21" t="s">
        <v>90</v>
      </c>
      <c r="C66" s="22" t="s">
        <v>91</v>
      </c>
      <c r="D66" s="18">
        <v>7.17</v>
      </c>
      <c r="E66" s="32">
        <f>D66*0.2+0.07</f>
        <v>1.5040000000000002</v>
      </c>
      <c r="F66" s="36"/>
      <c r="G66" s="36">
        <v>1.43</v>
      </c>
      <c r="H66" s="37"/>
      <c r="I66" s="37"/>
    </row>
    <row r="67" spans="1:9" s="24" customFormat="1" ht="12.75">
      <c r="A67" s="20" t="s">
        <v>39</v>
      </c>
      <c r="B67" s="137" t="s">
        <v>32</v>
      </c>
      <c r="C67" s="138"/>
      <c r="D67" s="138"/>
      <c r="E67" s="26"/>
      <c r="F67" s="36"/>
      <c r="G67" s="36"/>
      <c r="H67" s="37"/>
      <c r="I67" s="37"/>
    </row>
    <row r="68" spans="1:9" s="24" customFormat="1" ht="12" customHeight="1">
      <c r="A68" s="20" t="s">
        <v>40</v>
      </c>
      <c r="B68" s="21" t="s">
        <v>92</v>
      </c>
      <c r="C68" s="22" t="s">
        <v>93</v>
      </c>
      <c r="D68" s="18">
        <v>2.68</v>
      </c>
      <c r="E68" s="32">
        <f>D68*0.85</f>
        <v>2.278</v>
      </c>
      <c r="F68" s="36"/>
      <c r="G68" s="36"/>
      <c r="H68" s="37">
        <v>2.28</v>
      </c>
      <c r="I68" s="37"/>
    </row>
    <row r="69" spans="1:9" s="24" customFormat="1" ht="12.75">
      <c r="A69" s="20" t="s">
        <v>41</v>
      </c>
      <c r="B69" s="21" t="s">
        <v>94</v>
      </c>
      <c r="C69" s="22" t="s">
        <v>95</v>
      </c>
      <c r="D69" s="18"/>
      <c r="E69" s="32"/>
      <c r="F69" s="36"/>
      <c r="G69" s="36"/>
      <c r="H69" s="37"/>
      <c r="I69" s="37"/>
    </row>
    <row r="70" spans="1:9" s="24" customFormat="1" ht="12.75">
      <c r="A70" s="20" t="s">
        <v>47</v>
      </c>
      <c r="B70" s="21" t="s">
        <v>96</v>
      </c>
      <c r="C70" s="22" t="s">
        <v>97</v>
      </c>
      <c r="D70" s="18">
        <v>178.98</v>
      </c>
      <c r="E70" s="32">
        <f>D70*0.0976</f>
        <v>17.468448</v>
      </c>
      <c r="F70" s="36"/>
      <c r="G70" s="36">
        <v>17.47</v>
      </c>
      <c r="H70" s="37"/>
      <c r="I70" s="37"/>
    </row>
    <row r="71" spans="1:9" s="24" customFormat="1" ht="12.75">
      <c r="A71" s="20" t="s">
        <v>52</v>
      </c>
      <c r="B71" s="21" t="s">
        <v>98</v>
      </c>
      <c r="C71" s="22" t="s">
        <v>91</v>
      </c>
      <c r="D71" s="18">
        <v>7.17</v>
      </c>
      <c r="E71" s="32">
        <f>D71*0.874</f>
        <v>6.26658</v>
      </c>
      <c r="F71" s="36"/>
      <c r="G71" s="36">
        <v>6.27</v>
      </c>
      <c r="H71" s="37"/>
      <c r="I71" s="37"/>
    </row>
    <row r="72" spans="1:9" s="24" customFormat="1" ht="12.75">
      <c r="A72" s="20" t="s">
        <v>99</v>
      </c>
      <c r="B72" s="21" t="s">
        <v>100</v>
      </c>
      <c r="C72" s="22" t="s">
        <v>101</v>
      </c>
      <c r="D72" s="18">
        <v>100</v>
      </c>
      <c r="E72" s="32">
        <f>D72*0.1</f>
        <v>10</v>
      </c>
      <c r="F72" s="36">
        <f>E72/4</f>
        <v>2.5</v>
      </c>
      <c r="G72" s="36">
        <v>2.5</v>
      </c>
      <c r="H72" s="37">
        <v>2.5</v>
      </c>
      <c r="I72" s="37">
        <v>2.5</v>
      </c>
    </row>
    <row r="73" spans="1:9" s="24" customFormat="1" ht="12.75">
      <c r="A73" s="20" t="s">
        <v>102</v>
      </c>
      <c r="B73" s="21" t="s">
        <v>134</v>
      </c>
      <c r="C73" s="22" t="s">
        <v>130</v>
      </c>
      <c r="D73" s="18">
        <v>0</v>
      </c>
      <c r="E73" s="32">
        <f>D73*0.85</f>
        <v>0</v>
      </c>
      <c r="F73" s="36"/>
      <c r="G73" s="36"/>
      <c r="H73" s="37"/>
      <c r="I73" s="36"/>
    </row>
    <row r="74" spans="1:9" s="24" customFormat="1" ht="12.75">
      <c r="A74" s="20" t="s">
        <v>103</v>
      </c>
      <c r="B74" s="57" t="s">
        <v>135</v>
      </c>
      <c r="C74" s="58" t="s">
        <v>130</v>
      </c>
      <c r="D74" s="18">
        <v>0</v>
      </c>
      <c r="E74" s="32">
        <v>0</v>
      </c>
      <c r="F74" s="36"/>
      <c r="G74" s="36"/>
      <c r="H74" s="37"/>
      <c r="I74" s="37"/>
    </row>
    <row r="75" spans="1:11" s="24" customFormat="1" ht="12.75">
      <c r="A75" s="142" t="s">
        <v>146</v>
      </c>
      <c r="B75" s="140"/>
      <c r="C75" s="140"/>
      <c r="D75" s="141"/>
      <c r="E75" s="40">
        <f>SUM(E44:E74)</f>
        <v>53.477028</v>
      </c>
      <c r="F75" s="41">
        <f>SUM(F43:F74)</f>
        <v>6.365</v>
      </c>
      <c r="G75" s="41">
        <f>SUM(G43:G74)</f>
        <v>31.799999999999997</v>
      </c>
      <c r="H75" s="42">
        <f>SUM(H43:H74)</f>
        <v>8.91</v>
      </c>
      <c r="I75" s="41">
        <f>SUM(I43:I74)</f>
        <v>6.334999999999999</v>
      </c>
      <c r="J75" s="72">
        <f>F75+G75+H75+I75</f>
        <v>53.410000000000004</v>
      </c>
      <c r="K75" s="68"/>
    </row>
    <row r="76" spans="1:11" ht="12.75">
      <c r="A76" s="44" t="s">
        <v>104</v>
      </c>
      <c r="B76" s="4"/>
      <c r="C76" s="4"/>
      <c r="D76" s="4"/>
      <c r="E76" s="33"/>
      <c r="F76" s="36"/>
      <c r="G76" s="36"/>
      <c r="H76" s="37"/>
      <c r="I76" s="37"/>
      <c r="J76" s="24"/>
      <c r="K76" s="24"/>
    </row>
    <row r="77" spans="1:11" ht="12.75">
      <c r="A77" s="5" t="s">
        <v>7</v>
      </c>
      <c r="B77" s="10" t="s">
        <v>105</v>
      </c>
      <c r="C77" s="7"/>
      <c r="D77" s="16"/>
      <c r="E77" s="32"/>
      <c r="F77" s="36"/>
      <c r="G77" s="36"/>
      <c r="H77" s="37"/>
      <c r="I77" s="37"/>
      <c r="J77" s="24"/>
      <c r="K77" s="24"/>
    </row>
    <row r="78" spans="1:11" ht="12.75">
      <c r="A78" s="6" t="s">
        <v>9</v>
      </c>
      <c r="B78" s="6" t="s">
        <v>106</v>
      </c>
      <c r="C78" s="7" t="s">
        <v>107</v>
      </c>
      <c r="D78" s="16">
        <v>1600</v>
      </c>
      <c r="E78" s="32">
        <v>35.397</v>
      </c>
      <c r="F78" s="36">
        <f>E78/4</f>
        <v>8.84925</v>
      </c>
      <c r="G78" s="36">
        <v>8.85</v>
      </c>
      <c r="H78" s="37">
        <v>8.85</v>
      </c>
      <c r="I78" s="37">
        <v>8.85</v>
      </c>
      <c r="J78" s="24"/>
      <c r="K78" s="24"/>
    </row>
    <row r="79" spans="1:11" ht="12.75">
      <c r="A79" s="6" t="s">
        <v>12</v>
      </c>
      <c r="B79" s="8" t="s">
        <v>108</v>
      </c>
      <c r="C79" s="7" t="s">
        <v>109</v>
      </c>
      <c r="D79" s="16"/>
      <c r="E79" s="32"/>
      <c r="F79" s="36"/>
      <c r="G79" s="36"/>
      <c r="H79" s="37"/>
      <c r="I79" s="37"/>
      <c r="J79" s="24"/>
      <c r="K79" s="24"/>
    </row>
    <row r="80" spans="1:11" ht="12.75">
      <c r="A80" s="6" t="s">
        <v>15</v>
      </c>
      <c r="B80" s="8" t="s">
        <v>110</v>
      </c>
      <c r="C80" s="7" t="s">
        <v>107</v>
      </c>
      <c r="D80" s="16">
        <v>1200</v>
      </c>
      <c r="E80" s="32">
        <v>3.5</v>
      </c>
      <c r="F80" s="36"/>
      <c r="G80" s="36">
        <f>E80/2</f>
        <v>1.75</v>
      </c>
      <c r="H80" s="36">
        <f>E80-G80</f>
        <v>1.75</v>
      </c>
      <c r="I80" s="37"/>
      <c r="J80" s="24"/>
      <c r="K80" s="24"/>
    </row>
    <row r="81" spans="1:11" ht="12.75">
      <c r="A81" s="6" t="s">
        <v>31</v>
      </c>
      <c r="B81" s="10" t="s">
        <v>111</v>
      </c>
      <c r="C81" s="7"/>
      <c r="D81" s="16"/>
      <c r="E81" s="32"/>
      <c r="F81" s="36"/>
      <c r="G81" s="36"/>
      <c r="H81" s="37"/>
      <c r="I81" s="37"/>
      <c r="J81" s="24"/>
      <c r="K81" s="24"/>
    </row>
    <row r="82" spans="1:11" ht="25.5">
      <c r="A82" s="6"/>
      <c r="B82" s="8" t="s">
        <v>112</v>
      </c>
      <c r="C82" s="7" t="s">
        <v>113</v>
      </c>
      <c r="D82" s="16"/>
      <c r="E82" s="32"/>
      <c r="F82" s="36"/>
      <c r="G82" s="36"/>
      <c r="H82" s="37"/>
      <c r="I82" s="37"/>
      <c r="J82" s="24"/>
      <c r="K82" s="24"/>
    </row>
    <row r="83" spans="1:11" ht="25.5">
      <c r="A83" s="6"/>
      <c r="B83" s="8" t="s">
        <v>114</v>
      </c>
      <c r="C83" s="7" t="s">
        <v>113</v>
      </c>
      <c r="D83" s="18">
        <v>489</v>
      </c>
      <c r="E83" s="32">
        <v>18</v>
      </c>
      <c r="F83" s="36">
        <f>18/4</f>
        <v>4.5</v>
      </c>
      <c r="G83" s="36">
        <v>4.5</v>
      </c>
      <c r="H83" s="37">
        <v>4.5</v>
      </c>
      <c r="I83" s="36">
        <v>4.5</v>
      </c>
      <c r="J83" s="24"/>
      <c r="K83" s="24"/>
    </row>
    <row r="84" spans="1:11" ht="12.75">
      <c r="A84" s="179" t="s">
        <v>147</v>
      </c>
      <c r="B84" s="143"/>
      <c r="C84" s="143"/>
      <c r="D84" s="144"/>
      <c r="E84" s="40">
        <f>SUM(E78:E83)</f>
        <v>56.897</v>
      </c>
      <c r="F84" s="41">
        <f>SUM(F78:F83)</f>
        <v>13.34925</v>
      </c>
      <c r="G84" s="41">
        <f>SUM(G78:G83)</f>
        <v>15.1</v>
      </c>
      <c r="H84" s="42">
        <f>SUM(H78:H83)</f>
        <v>15.1</v>
      </c>
      <c r="I84" s="41">
        <f>SUM(I78:I83)</f>
        <v>13.35</v>
      </c>
      <c r="J84" s="72">
        <f>F84+G84+H84+I84</f>
        <v>56.89925</v>
      </c>
      <c r="K84" s="68"/>
    </row>
    <row r="85" spans="1:11" ht="12.75">
      <c r="A85" s="180" t="s">
        <v>115</v>
      </c>
      <c r="B85" s="180"/>
      <c r="C85" s="180"/>
      <c r="D85" s="180"/>
      <c r="E85" s="34"/>
      <c r="F85" s="36"/>
      <c r="G85" s="36"/>
      <c r="H85" s="37"/>
      <c r="I85" s="37"/>
      <c r="J85" s="24"/>
      <c r="K85" s="24"/>
    </row>
    <row r="86" spans="1:11" ht="12.75">
      <c r="A86" s="45">
        <v>1</v>
      </c>
      <c r="B86" s="5" t="s">
        <v>126</v>
      </c>
      <c r="C86" s="11" t="s">
        <v>127</v>
      </c>
      <c r="D86" s="15">
        <v>3719.2</v>
      </c>
      <c r="E86" s="35">
        <f>D86*0.59*12/1000</f>
        <v>26.331936000000002</v>
      </c>
      <c r="F86" s="36">
        <f>E86/4</f>
        <v>6.582984000000001</v>
      </c>
      <c r="G86" s="36">
        <v>6.57</v>
      </c>
      <c r="H86" s="37">
        <v>6.57</v>
      </c>
      <c r="I86" s="36">
        <f>E86-F86-G86-H86</f>
        <v>6.608952000000002</v>
      </c>
      <c r="J86" s="24"/>
      <c r="K86" s="24"/>
    </row>
    <row r="87" spans="1:11" ht="12.75">
      <c r="A87" s="45">
        <v>2</v>
      </c>
      <c r="B87" s="5" t="s">
        <v>116</v>
      </c>
      <c r="C87" s="11" t="s">
        <v>117</v>
      </c>
      <c r="D87" s="15">
        <v>570</v>
      </c>
      <c r="E87" s="31">
        <f>D87*1.4*2/1000</f>
        <v>1.596</v>
      </c>
      <c r="F87" s="36"/>
      <c r="G87" s="36">
        <f>E87/2</f>
        <v>0.798</v>
      </c>
      <c r="H87" s="36">
        <f>E87-G87</f>
        <v>0.798</v>
      </c>
      <c r="I87" s="36"/>
      <c r="J87" s="24"/>
      <c r="K87" s="24"/>
    </row>
    <row r="88" spans="1:11" ht="25.5">
      <c r="A88" s="45">
        <v>3</v>
      </c>
      <c r="B88" s="19" t="s">
        <v>128</v>
      </c>
      <c r="C88" s="11" t="s">
        <v>181</v>
      </c>
      <c r="D88" s="15"/>
      <c r="E88" s="35">
        <v>24.8</v>
      </c>
      <c r="F88" s="36">
        <f>E88/4</f>
        <v>6.2</v>
      </c>
      <c r="G88" s="36">
        <v>6.2</v>
      </c>
      <c r="H88" s="37">
        <v>6.2</v>
      </c>
      <c r="I88" s="36">
        <v>6.2</v>
      </c>
      <c r="J88" s="73"/>
      <c r="K88" s="24"/>
    </row>
    <row r="89" spans="1:11" ht="12.75">
      <c r="A89" s="45">
        <v>4</v>
      </c>
      <c r="B89" s="29" t="s">
        <v>148</v>
      </c>
      <c r="C89" s="11" t="s">
        <v>127</v>
      </c>
      <c r="D89" s="15">
        <v>3719.2</v>
      </c>
      <c r="E89" s="31">
        <v>35.577</v>
      </c>
      <c r="F89" s="36">
        <f>E89/4</f>
        <v>8.89425</v>
      </c>
      <c r="G89" s="36">
        <v>8.89</v>
      </c>
      <c r="H89" s="37">
        <v>8.89</v>
      </c>
      <c r="I89" s="36">
        <v>8.89</v>
      </c>
      <c r="J89" s="23"/>
      <c r="K89" s="24"/>
    </row>
    <row r="90" spans="1:11" ht="12.75">
      <c r="A90" s="120" t="s">
        <v>149</v>
      </c>
      <c r="B90" s="143"/>
      <c r="C90" s="143"/>
      <c r="D90" s="144"/>
      <c r="E90" s="40">
        <f>SUM(E86:E89)</f>
        <v>88.304936</v>
      </c>
      <c r="F90" s="41">
        <f>SUM(F86:F89)</f>
        <v>21.677234</v>
      </c>
      <c r="G90" s="41">
        <f>SUM(G86:G89)</f>
        <v>22.458000000000002</v>
      </c>
      <c r="H90" s="42">
        <f>SUM(H86:H89)</f>
        <v>22.458000000000002</v>
      </c>
      <c r="I90" s="41">
        <f>SUM(I86:I89)</f>
        <v>21.698952000000002</v>
      </c>
      <c r="J90" s="72">
        <f>F90+G90+H90+I90</f>
        <v>88.292186</v>
      </c>
      <c r="K90" s="68"/>
    </row>
    <row r="91" spans="1:11" ht="12.75">
      <c r="A91" s="179" t="s">
        <v>150</v>
      </c>
      <c r="B91" s="143"/>
      <c r="C91" s="143"/>
      <c r="D91" s="144"/>
      <c r="E91" s="40">
        <f>E40+E75+E84+E90</f>
        <v>232.478964</v>
      </c>
      <c r="F91" s="41">
        <f>F40+F75+F84+F90</f>
        <v>55.141484</v>
      </c>
      <c r="G91" s="41">
        <f>G40+G75+G84+G90</f>
        <v>77.958</v>
      </c>
      <c r="H91" s="41">
        <f>H40+H75+H84+H90</f>
        <v>55.068</v>
      </c>
      <c r="I91" s="41">
        <f>I40+I75+I84+I90</f>
        <v>44.233952</v>
      </c>
      <c r="J91" s="24">
        <f>232.48</f>
        <v>232.48</v>
      </c>
      <c r="K91" s="23">
        <f>J91-E91</f>
        <v>0.0010359999999991487</v>
      </c>
    </row>
    <row r="92" spans="1:11" ht="25.5">
      <c r="A92" s="150">
        <v>1</v>
      </c>
      <c r="B92" s="63" t="s">
        <v>182</v>
      </c>
      <c r="C92" s="94" t="s">
        <v>107</v>
      </c>
      <c r="D92" s="15">
        <v>3719.2</v>
      </c>
      <c r="E92" s="31">
        <f>(2.32*D92*10/1000)+(4100*2/1000)</f>
        <v>94.48544000000001</v>
      </c>
      <c r="F92" s="36">
        <f>E92/4</f>
        <v>23.621360000000003</v>
      </c>
      <c r="G92" s="36">
        <v>23.62</v>
      </c>
      <c r="H92" s="37">
        <v>23.62</v>
      </c>
      <c r="I92" s="36">
        <v>23.62</v>
      </c>
      <c r="J92" s="24"/>
      <c r="K92" s="23"/>
    </row>
    <row r="93" spans="1:11" ht="12.75">
      <c r="A93" s="151"/>
      <c r="B93" s="62" t="s">
        <v>183</v>
      </c>
      <c r="C93" s="66"/>
      <c r="D93" s="52"/>
      <c r="E93" s="31">
        <v>21.66</v>
      </c>
      <c r="F93" s="36">
        <f>E93/4</f>
        <v>5.415</v>
      </c>
      <c r="G93" s="36">
        <v>5.42</v>
      </c>
      <c r="H93" s="37">
        <v>5.42</v>
      </c>
      <c r="I93" s="36">
        <v>5.42</v>
      </c>
      <c r="J93" s="24"/>
      <c r="K93" s="23"/>
    </row>
    <row r="94" spans="1:11" ht="25.5">
      <c r="A94" s="152"/>
      <c r="B94" s="82" t="s">
        <v>184</v>
      </c>
      <c r="C94" s="81"/>
      <c r="D94" s="41"/>
      <c r="E94" s="40">
        <f>SUM(E92:E93)</f>
        <v>116.14544000000001</v>
      </c>
      <c r="F94" s="41">
        <f>SUM(F92:F93)</f>
        <v>29.036360000000002</v>
      </c>
      <c r="G94" s="41">
        <f>SUM(G92:G93)</f>
        <v>29.04</v>
      </c>
      <c r="H94" s="42">
        <f>SUM(H92:H93)</f>
        <v>29.04</v>
      </c>
      <c r="I94" s="41">
        <f>SUM(I92:I93)</f>
        <v>29.04</v>
      </c>
      <c r="J94" s="23">
        <f>F94+G94+H94+I94</f>
        <v>116.15636</v>
      </c>
      <c r="K94" s="23"/>
    </row>
    <row r="95" spans="1:11" ht="25.5">
      <c r="A95" s="150">
        <v>2</v>
      </c>
      <c r="B95" s="62" t="s">
        <v>188</v>
      </c>
      <c r="C95" s="66" t="s">
        <v>107</v>
      </c>
      <c r="D95" s="15">
        <v>3719.2</v>
      </c>
      <c r="E95" s="31">
        <f>D95*1.62*12/1000</f>
        <v>72.301248</v>
      </c>
      <c r="F95" s="36">
        <f>E95/4</f>
        <v>18.075312</v>
      </c>
      <c r="G95" s="36">
        <v>18.08</v>
      </c>
      <c r="H95" s="37">
        <v>18.08</v>
      </c>
      <c r="I95" s="36">
        <v>18.08</v>
      </c>
      <c r="J95" s="24"/>
      <c r="K95" s="23"/>
    </row>
    <row r="96" spans="1:11" ht="12.75">
      <c r="A96" s="151"/>
      <c r="B96" s="62" t="s">
        <v>183</v>
      </c>
      <c r="C96" s="66"/>
      <c r="D96" s="52"/>
      <c r="E96" s="31">
        <v>2.23</v>
      </c>
      <c r="F96" s="36">
        <f>E96/4</f>
        <v>0.5575</v>
      </c>
      <c r="G96" s="36">
        <v>0.56</v>
      </c>
      <c r="H96" s="37">
        <v>0.56</v>
      </c>
      <c r="I96" s="36">
        <v>0.56</v>
      </c>
      <c r="J96" s="24"/>
      <c r="K96" s="23"/>
    </row>
    <row r="97" spans="1:11" ht="12.75">
      <c r="A97" s="152"/>
      <c r="B97" s="82" t="s">
        <v>189</v>
      </c>
      <c r="C97" s="81"/>
      <c r="D97" s="41"/>
      <c r="E97" s="40">
        <f>SUM(E95:E96)</f>
        <v>74.531248</v>
      </c>
      <c r="F97" s="41">
        <f>SUM(F95:F96)</f>
        <v>18.632812</v>
      </c>
      <c r="G97" s="41">
        <f>SUM(G95:G96)</f>
        <v>18.639999999999997</v>
      </c>
      <c r="H97" s="42">
        <f>SUM(H95:H96)</f>
        <v>18.639999999999997</v>
      </c>
      <c r="I97" s="41">
        <f>SUM(I95:I96)</f>
        <v>18.639999999999997</v>
      </c>
      <c r="J97" s="23">
        <f>F97+G97+H97+I97</f>
        <v>74.552812</v>
      </c>
      <c r="K97" s="23"/>
    </row>
    <row r="98" spans="1:11" ht="25.5">
      <c r="A98" s="150">
        <v>3</v>
      </c>
      <c r="B98" s="62" t="s">
        <v>185</v>
      </c>
      <c r="C98" s="60" t="s">
        <v>107</v>
      </c>
      <c r="D98" s="15">
        <v>3719.2</v>
      </c>
      <c r="E98" s="31">
        <f>D98*0.45*12/1000</f>
        <v>20.08368</v>
      </c>
      <c r="F98" s="36">
        <f>E98/4</f>
        <v>5.02092</v>
      </c>
      <c r="G98" s="36">
        <v>5.02</v>
      </c>
      <c r="H98" s="37">
        <v>5.02</v>
      </c>
      <c r="I98" s="36">
        <v>5.02</v>
      </c>
      <c r="J98" s="24"/>
      <c r="K98" s="23"/>
    </row>
    <row r="99" spans="1:11" ht="12.75">
      <c r="A99" s="151"/>
      <c r="B99" s="63" t="s">
        <v>183</v>
      </c>
      <c r="C99" s="60"/>
      <c r="D99" s="52"/>
      <c r="E99" s="31">
        <v>3.16</v>
      </c>
      <c r="F99" s="36">
        <f>E99/4</f>
        <v>0.79</v>
      </c>
      <c r="G99" s="36">
        <v>0.79</v>
      </c>
      <c r="H99" s="37">
        <v>0.79</v>
      </c>
      <c r="I99" s="36">
        <v>0.79</v>
      </c>
      <c r="J99" s="24"/>
      <c r="K99" s="23"/>
    </row>
    <row r="100" spans="1:11" ht="25.5">
      <c r="A100" s="152"/>
      <c r="B100" s="83" t="s">
        <v>186</v>
      </c>
      <c r="C100" s="84"/>
      <c r="D100" s="41"/>
      <c r="E100" s="40">
        <f>SUM(E98:E99)</f>
        <v>23.24368</v>
      </c>
      <c r="F100" s="40">
        <f>SUM(F98:F99)</f>
        <v>5.81092</v>
      </c>
      <c r="G100" s="40">
        <f>SUM(G98:G99)</f>
        <v>5.81</v>
      </c>
      <c r="H100" s="40">
        <f>SUM(H98:H99)</f>
        <v>5.81</v>
      </c>
      <c r="I100" s="41">
        <f>SUM(I98:I99)</f>
        <v>5.81</v>
      </c>
      <c r="J100" s="23">
        <f>F100+G100+H100+I100</f>
        <v>23.24092</v>
      </c>
      <c r="K100" s="23"/>
    </row>
    <row r="101" spans="1:11" ht="12.75">
      <c r="A101" s="126" t="s">
        <v>152</v>
      </c>
      <c r="B101" s="119"/>
      <c r="C101" s="119"/>
      <c r="D101" s="119"/>
      <c r="E101" s="64">
        <f>E94+E97+E100</f>
        <v>213.92036800000002</v>
      </c>
      <c r="F101" s="64">
        <f>F94+F97+F100</f>
        <v>53.480092000000006</v>
      </c>
      <c r="G101" s="64">
        <f>G94+G97+G100</f>
        <v>53.489999999999995</v>
      </c>
      <c r="H101" s="64">
        <f>H94+H97+H100</f>
        <v>53.489999999999995</v>
      </c>
      <c r="I101" s="64">
        <f>I94+I97+I100</f>
        <v>53.489999999999995</v>
      </c>
      <c r="J101" s="24"/>
      <c r="K101" s="23"/>
    </row>
    <row r="102" spans="1:11" ht="15.75">
      <c r="A102" s="175" t="s">
        <v>153</v>
      </c>
      <c r="B102" s="176"/>
      <c r="C102" s="176"/>
      <c r="D102" s="176"/>
      <c r="E102" s="49">
        <f>E91+E101</f>
        <v>446.399332</v>
      </c>
      <c r="F102" s="49">
        <f>F91+F101</f>
        <v>108.621576</v>
      </c>
      <c r="G102" s="49">
        <f>G91+G101</f>
        <v>131.44799999999998</v>
      </c>
      <c r="H102" s="49">
        <f>H91+H101</f>
        <v>108.55799999999999</v>
      </c>
      <c r="I102" s="49">
        <f>I91+I101</f>
        <v>97.723952</v>
      </c>
      <c r="J102" s="23">
        <f>F102+G102+H102+I102</f>
        <v>446.351528</v>
      </c>
      <c r="K102" s="24"/>
    </row>
    <row r="103" spans="1:11" ht="12.75">
      <c r="A103" s="177" t="s">
        <v>118</v>
      </c>
      <c r="B103" s="177"/>
      <c r="C103" s="177"/>
      <c r="D103" s="177"/>
      <c r="E103" s="178"/>
      <c r="F103" s="36"/>
      <c r="G103" s="36"/>
      <c r="H103" s="37"/>
      <c r="I103" s="37"/>
      <c r="J103" s="24"/>
      <c r="K103" s="24"/>
    </row>
    <row r="104" spans="1:11" ht="12.75">
      <c r="A104" s="5" t="s">
        <v>7</v>
      </c>
      <c r="B104" s="5" t="s">
        <v>119</v>
      </c>
      <c r="C104" s="12" t="s">
        <v>120</v>
      </c>
      <c r="D104" s="15">
        <v>110.691</v>
      </c>
      <c r="E104" s="31"/>
      <c r="F104" s="36"/>
      <c r="G104" s="36"/>
      <c r="H104" s="37"/>
      <c r="I104" s="37"/>
      <c r="J104" s="24"/>
      <c r="K104" s="24"/>
    </row>
    <row r="105" spans="1:11" ht="12.75">
      <c r="A105" s="5" t="s">
        <v>31</v>
      </c>
      <c r="B105" s="5" t="s">
        <v>121</v>
      </c>
      <c r="C105" s="12" t="s">
        <v>122</v>
      </c>
      <c r="D105" s="15">
        <f>12+4</f>
        <v>16</v>
      </c>
      <c r="E105" s="31"/>
      <c r="F105" s="36"/>
      <c r="G105" s="36"/>
      <c r="H105" s="37"/>
      <c r="I105" s="37"/>
      <c r="J105" s="24"/>
      <c r="K105" s="24"/>
    </row>
    <row r="106" spans="1:9" ht="12.75">
      <c r="A106" s="5" t="s">
        <v>39</v>
      </c>
      <c r="B106" s="5" t="s">
        <v>123</v>
      </c>
      <c r="C106" s="12" t="s">
        <v>122</v>
      </c>
      <c r="D106" s="15">
        <f>396+160+120+144+153+153+63+40+196+220+60+60+60+80</f>
        <v>1905</v>
      </c>
      <c r="E106" s="31"/>
      <c r="F106" s="36"/>
      <c r="G106" s="36"/>
      <c r="H106" s="37"/>
      <c r="I106" s="37"/>
    </row>
    <row r="107" spans="1:7" ht="12.75">
      <c r="A107" s="3"/>
      <c r="B107" s="3"/>
      <c r="C107" s="3"/>
      <c r="D107" s="14"/>
      <c r="E107" s="25"/>
      <c r="F107" s="23"/>
      <c r="G107" s="23"/>
    </row>
    <row r="108" spans="1:7" ht="12.75">
      <c r="A108" s="3"/>
      <c r="B108" s="3" t="s">
        <v>124</v>
      </c>
      <c r="C108" s="134" t="s">
        <v>176</v>
      </c>
      <c r="D108" s="135"/>
      <c r="E108" s="135"/>
      <c r="F108" s="23"/>
      <c r="G108" s="23"/>
    </row>
    <row r="109" spans="1:7" ht="12.75">
      <c r="A109" s="3"/>
      <c r="B109" s="3"/>
      <c r="C109" s="3"/>
      <c r="D109" s="14"/>
      <c r="E109" s="25"/>
      <c r="F109" s="23"/>
      <c r="G109" s="23"/>
    </row>
    <row r="110" spans="2:7" ht="12.75">
      <c r="B110" s="95" t="s">
        <v>197</v>
      </c>
      <c r="C110" t="s">
        <v>199</v>
      </c>
      <c r="D110" s="13"/>
      <c r="E110" s="23"/>
      <c r="F110" s="23"/>
      <c r="G110" s="23"/>
    </row>
  </sheetData>
  <mergeCells count="34">
    <mergeCell ref="H12:H13"/>
    <mergeCell ref="I12:I13"/>
    <mergeCell ref="A12:A13"/>
    <mergeCell ref="B12:B13"/>
    <mergeCell ref="C12:C13"/>
    <mergeCell ref="D12:E12"/>
    <mergeCell ref="B28:D28"/>
    <mergeCell ref="A40:D40"/>
    <mergeCell ref="F12:F13"/>
    <mergeCell ref="G12:G13"/>
    <mergeCell ref="A103:E103"/>
    <mergeCell ref="C108:E108"/>
    <mergeCell ref="A102:D102"/>
    <mergeCell ref="A84:D84"/>
    <mergeCell ref="A85:D85"/>
    <mergeCell ref="A90:D90"/>
    <mergeCell ref="A91:D91"/>
    <mergeCell ref="A95:A97"/>
    <mergeCell ref="A98:A100"/>
    <mergeCell ref="A101:D101"/>
    <mergeCell ref="E2:I2"/>
    <mergeCell ref="E3:I3"/>
    <mergeCell ref="E4:I4"/>
    <mergeCell ref="E5:I5"/>
    <mergeCell ref="A7:I7"/>
    <mergeCell ref="A8:I8"/>
    <mergeCell ref="A10:I10"/>
    <mergeCell ref="A92:A94"/>
    <mergeCell ref="A41:D41"/>
    <mergeCell ref="B65:D65"/>
    <mergeCell ref="B67:D67"/>
    <mergeCell ref="A75:D75"/>
    <mergeCell ref="B15:E15"/>
    <mergeCell ref="B25:D2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K111"/>
  <sheetViews>
    <sheetView workbookViewId="0" topLeftCell="A16">
      <selection activeCell="A9" sqref="A9:I9"/>
    </sheetView>
  </sheetViews>
  <sheetFormatPr defaultColWidth="9.00390625" defaultRowHeight="12.75"/>
  <cols>
    <col min="1" max="1" width="4.625" style="24" customWidth="1"/>
    <col min="2" max="2" width="59.875" style="24" customWidth="1"/>
    <col min="3" max="3" width="22.25390625" style="24" customWidth="1"/>
    <col min="4" max="8" width="9.125" style="24" customWidth="1"/>
    <col min="9" max="9" width="9.875" style="24" customWidth="1"/>
    <col min="10" max="16384" width="9.125" style="24" customWidth="1"/>
  </cols>
  <sheetData>
    <row r="1" spans="1:5" ht="12.75">
      <c r="A1"/>
      <c r="B1"/>
      <c r="C1"/>
      <c r="D1"/>
      <c r="E1"/>
    </row>
    <row r="2" spans="2:9" ht="12.75">
      <c r="B2" s="107" t="s">
        <v>219</v>
      </c>
      <c r="E2" s="173" t="s">
        <v>159</v>
      </c>
      <c r="F2" s="173"/>
      <c r="G2" s="173"/>
      <c r="H2" s="173"/>
      <c r="I2" s="173"/>
    </row>
    <row r="3" spans="2:9" ht="12.75">
      <c r="B3" s="24" t="s">
        <v>204</v>
      </c>
      <c r="E3" s="173" t="s">
        <v>192</v>
      </c>
      <c r="F3" s="173"/>
      <c r="G3" s="173"/>
      <c r="H3" s="173"/>
      <c r="I3" s="173"/>
    </row>
    <row r="4" spans="2:9" ht="12.75">
      <c r="B4" s="24" t="s">
        <v>211</v>
      </c>
      <c r="E4" s="173" t="s">
        <v>160</v>
      </c>
      <c r="F4" s="173"/>
      <c r="G4" s="173"/>
      <c r="H4" s="173"/>
      <c r="I4" s="173"/>
    </row>
    <row r="5" spans="5:9" ht="12.75">
      <c r="E5" s="174" t="s">
        <v>193</v>
      </c>
      <c r="F5" s="173"/>
      <c r="G5" s="173"/>
      <c r="H5" s="173"/>
      <c r="I5" s="173"/>
    </row>
    <row r="6" spans="5:9" ht="12.75">
      <c r="E6" s="173"/>
      <c r="F6" s="173"/>
      <c r="G6" s="173"/>
      <c r="H6" s="173"/>
      <c r="I6" s="173"/>
    </row>
    <row r="8" spans="1:9" ht="12.75">
      <c r="A8" s="158" t="s">
        <v>125</v>
      </c>
      <c r="B8" s="158"/>
      <c r="C8" s="158"/>
      <c r="D8" s="158"/>
      <c r="E8" s="158"/>
      <c r="F8" s="158"/>
      <c r="G8" s="158"/>
      <c r="H8" s="158"/>
      <c r="I8" s="158"/>
    </row>
    <row r="9" spans="1:9" ht="12.75">
      <c r="A9" s="159" t="s">
        <v>163</v>
      </c>
      <c r="B9" s="158"/>
      <c r="C9" s="158"/>
      <c r="D9" s="158"/>
      <c r="E9" s="158"/>
      <c r="F9" s="158"/>
      <c r="G9" s="158"/>
      <c r="H9" s="158"/>
      <c r="I9" s="158"/>
    </row>
    <row r="10" spans="1:9" ht="12.75">
      <c r="A10" s="70"/>
      <c r="B10" s="2"/>
      <c r="C10" s="2"/>
      <c r="D10" s="2"/>
      <c r="E10" s="2"/>
      <c r="F10" s="75"/>
      <c r="G10" s="2"/>
      <c r="H10" s="2"/>
      <c r="I10" s="2"/>
    </row>
    <row r="11" spans="1:9" ht="12.75">
      <c r="A11" s="160" t="s">
        <v>178</v>
      </c>
      <c r="B11" s="160"/>
      <c r="C11" s="160"/>
      <c r="D11" s="160"/>
      <c r="E11" s="160"/>
      <c r="F11" s="160"/>
      <c r="G11" s="160"/>
      <c r="H11" s="160"/>
      <c r="I11" s="160"/>
    </row>
    <row r="12" spans="1:7" ht="12.75">
      <c r="A12" s="48"/>
      <c r="B12" s="47"/>
      <c r="C12" s="47"/>
      <c r="D12" s="47"/>
      <c r="E12" s="47"/>
      <c r="F12" s="23"/>
      <c r="G12" s="23"/>
    </row>
    <row r="13" spans="1:9" ht="12.75">
      <c r="A13" s="170" t="s">
        <v>0</v>
      </c>
      <c r="B13" s="170" t="s">
        <v>1</v>
      </c>
      <c r="C13" s="170" t="s">
        <v>2</v>
      </c>
      <c r="D13" s="171" t="s">
        <v>3</v>
      </c>
      <c r="E13" s="172"/>
      <c r="F13" s="153" t="s">
        <v>139</v>
      </c>
      <c r="G13" s="153" t="s">
        <v>140</v>
      </c>
      <c r="H13" s="155" t="s">
        <v>141</v>
      </c>
      <c r="I13" s="155" t="s">
        <v>142</v>
      </c>
    </row>
    <row r="14" spans="1:9" ht="38.25">
      <c r="A14" s="170"/>
      <c r="B14" s="170"/>
      <c r="C14" s="170"/>
      <c r="D14" s="50" t="s">
        <v>4</v>
      </c>
      <c r="E14" s="30" t="s">
        <v>5</v>
      </c>
      <c r="F14" s="154"/>
      <c r="G14" s="154"/>
      <c r="H14" s="156"/>
      <c r="I14" s="156"/>
    </row>
    <row r="15" spans="1:9" ht="12.75">
      <c r="A15" s="51" t="s">
        <v>6</v>
      </c>
      <c r="B15" s="51"/>
      <c r="C15" s="39"/>
      <c r="D15" s="52"/>
      <c r="E15" s="31"/>
      <c r="F15" s="36"/>
      <c r="G15" s="36"/>
      <c r="H15" s="37"/>
      <c r="I15" s="37"/>
    </row>
    <row r="16" spans="1:9" ht="12.75">
      <c r="A16" s="53" t="s">
        <v>7</v>
      </c>
      <c r="B16" s="164" t="s">
        <v>8</v>
      </c>
      <c r="C16" s="164"/>
      <c r="D16" s="164"/>
      <c r="E16" s="165"/>
      <c r="F16" s="36"/>
      <c r="G16" s="36"/>
      <c r="H16" s="37"/>
      <c r="I16" s="37"/>
    </row>
    <row r="17" spans="1:11" ht="12.75">
      <c r="A17" s="20" t="s">
        <v>9</v>
      </c>
      <c r="B17" s="20" t="s">
        <v>10</v>
      </c>
      <c r="C17" s="22" t="s">
        <v>11</v>
      </c>
      <c r="D17" s="18">
        <v>2.8</v>
      </c>
      <c r="E17" s="96">
        <f>D17*0.7</f>
        <v>1.9599999999999997</v>
      </c>
      <c r="F17" s="97"/>
      <c r="G17" s="97">
        <f>E17/2</f>
        <v>0.9799999999999999</v>
      </c>
      <c r="H17" s="97">
        <v>0.98</v>
      </c>
      <c r="I17" s="97"/>
      <c r="J17"/>
      <c r="K17"/>
    </row>
    <row r="18" spans="1:11" ht="15" customHeight="1">
      <c r="A18" s="20" t="s">
        <v>12</v>
      </c>
      <c r="B18" s="21" t="s">
        <v>13</v>
      </c>
      <c r="C18" s="22" t="s">
        <v>14</v>
      </c>
      <c r="D18" s="18"/>
      <c r="E18" s="96"/>
      <c r="F18" s="97"/>
      <c r="G18" s="97"/>
      <c r="H18" s="97"/>
      <c r="I18" s="97"/>
      <c r="J18"/>
      <c r="K18"/>
    </row>
    <row r="19" spans="1:9" ht="15.75" customHeight="1">
      <c r="A19" s="20" t="s">
        <v>15</v>
      </c>
      <c r="B19" s="21" t="s">
        <v>16</v>
      </c>
      <c r="C19" s="22" t="s">
        <v>14</v>
      </c>
      <c r="D19" s="18">
        <v>11.6</v>
      </c>
      <c r="E19" s="96">
        <f>D19*0.4</f>
        <v>4.64</v>
      </c>
      <c r="F19" s="97"/>
      <c r="G19" s="97">
        <f>E19/2</f>
        <v>2.32</v>
      </c>
      <c r="H19" s="97">
        <v>2.32</v>
      </c>
      <c r="I19" s="97"/>
    </row>
    <row r="20" spans="1:11" ht="25.5">
      <c r="A20" s="20" t="s">
        <v>17</v>
      </c>
      <c r="B20" s="21" t="s">
        <v>18</v>
      </c>
      <c r="C20" s="22" t="s">
        <v>14</v>
      </c>
      <c r="D20" s="18">
        <v>11.6</v>
      </c>
      <c r="E20" s="96">
        <f>D20*0.4</f>
        <v>4.64</v>
      </c>
      <c r="F20" s="97"/>
      <c r="G20" s="97">
        <v>2.32</v>
      </c>
      <c r="H20" s="97">
        <v>2.32</v>
      </c>
      <c r="I20" s="97"/>
      <c r="J20"/>
      <c r="K20"/>
    </row>
    <row r="21" spans="1:11" ht="25.5">
      <c r="A21" s="20" t="s">
        <v>19</v>
      </c>
      <c r="B21" s="21" t="s">
        <v>20</v>
      </c>
      <c r="C21" s="22" t="s">
        <v>14</v>
      </c>
      <c r="D21" s="18">
        <v>11.6</v>
      </c>
      <c r="E21" s="96">
        <f>D21*0.3</f>
        <v>3.48</v>
      </c>
      <c r="F21" s="97"/>
      <c r="G21" s="97">
        <f>E21/2</f>
        <v>1.74</v>
      </c>
      <c r="H21" s="97">
        <v>1.74</v>
      </c>
      <c r="I21" s="97"/>
      <c r="J21"/>
      <c r="K21"/>
    </row>
    <row r="22" spans="1:11" ht="13.5" customHeight="1">
      <c r="A22" s="20" t="s">
        <v>21</v>
      </c>
      <c r="B22" s="21" t="s">
        <v>22</v>
      </c>
      <c r="C22" s="22" t="s">
        <v>14</v>
      </c>
      <c r="D22" s="18">
        <v>11.6</v>
      </c>
      <c r="E22" s="96">
        <f>D22*0.4</f>
        <v>4.64</v>
      </c>
      <c r="F22" s="97"/>
      <c r="G22" s="97">
        <v>2.32</v>
      </c>
      <c r="H22" s="97">
        <v>2.32</v>
      </c>
      <c r="I22" s="97"/>
      <c r="J22"/>
      <c r="K22"/>
    </row>
    <row r="23" spans="1:11" ht="12.75">
      <c r="A23" s="20" t="s">
        <v>23</v>
      </c>
      <c r="B23" s="20" t="s">
        <v>24</v>
      </c>
      <c r="C23" s="22" t="s">
        <v>25</v>
      </c>
      <c r="D23" s="18"/>
      <c r="E23" s="96"/>
      <c r="F23" s="97"/>
      <c r="G23" s="97"/>
      <c r="H23" s="97"/>
      <c r="I23" s="97"/>
      <c r="J23"/>
      <c r="K23"/>
    </row>
    <row r="24" spans="1:11" ht="25.5">
      <c r="A24" s="20" t="s">
        <v>26</v>
      </c>
      <c r="B24" s="21" t="s">
        <v>27</v>
      </c>
      <c r="C24" s="22" t="s">
        <v>25</v>
      </c>
      <c r="D24" s="18"/>
      <c r="E24" s="96"/>
      <c r="F24" s="97"/>
      <c r="G24" s="97"/>
      <c r="H24" s="97"/>
      <c r="I24" s="97"/>
      <c r="J24"/>
      <c r="K24"/>
    </row>
    <row r="25" spans="1:11" ht="25.5">
      <c r="A25" s="20" t="s">
        <v>28</v>
      </c>
      <c r="B25" s="21" t="s">
        <v>29</v>
      </c>
      <c r="C25" s="22" t="s">
        <v>30</v>
      </c>
      <c r="D25" s="18"/>
      <c r="E25" s="96"/>
      <c r="F25" s="97"/>
      <c r="G25" s="97"/>
      <c r="H25" s="97"/>
      <c r="I25" s="97"/>
      <c r="J25"/>
      <c r="K25"/>
    </row>
    <row r="26" spans="1:11" ht="12.75">
      <c r="A26" s="20" t="s">
        <v>31</v>
      </c>
      <c r="B26" s="137" t="s">
        <v>32</v>
      </c>
      <c r="C26" s="138"/>
      <c r="D26" s="138"/>
      <c r="E26" s="98"/>
      <c r="F26" s="97"/>
      <c r="G26" s="97"/>
      <c r="H26" s="97"/>
      <c r="I26" s="97"/>
      <c r="J26"/>
      <c r="K26"/>
    </row>
    <row r="27" spans="1:11" ht="12.75">
      <c r="A27" s="20" t="s">
        <v>33</v>
      </c>
      <c r="B27" s="21" t="s">
        <v>34</v>
      </c>
      <c r="C27" s="54" t="s">
        <v>35</v>
      </c>
      <c r="D27" s="18"/>
      <c r="E27" s="96"/>
      <c r="F27" s="97"/>
      <c r="G27" s="97"/>
      <c r="H27" s="97"/>
      <c r="I27" s="97"/>
      <c r="J27"/>
      <c r="K27"/>
    </row>
    <row r="28" spans="1:11" ht="12.75">
      <c r="A28" s="20" t="s">
        <v>36</v>
      </c>
      <c r="B28" s="20" t="s">
        <v>37</v>
      </c>
      <c r="C28" s="54" t="s">
        <v>38</v>
      </c>
      <c r="D28" s="18"/>
      <c r="E28" s="96"/>
      <c r="F28" s="97"/>
      <c r="G28" s="97"/>
      <c r="H28" s="97"/>
      <c r="I28" s="97"/>
      <c r="J28"/>
      <c r="K28"/>
    </row>
    <row r="29" spans="1:11" ht="12.75">
      <c r="A29" s="20" t="s">
        <v>39</v>
      </c>
      <c r="B29" s="137" t="s">
        <v>32</v>
      </c>
      <c r="C29" s="138"/>
      <c r="D29" s="138"/>
      <c r="E29" s="98"/>
      <c r="F29" s="97"/>
      <c r="G29" s="97"/>
      <c r="H29" s="97"/>
      <c r="I29" s="97"/>
      <c r="J29"/>
      <c r="K29"/>
    </row>
    <row r="30" spans="1:11" ht="12.75">
      <c r="A30" s="20" t="s">
        <v>40</v>
      </c>
      <c r="B30" s="46" t="s">
        <v>138</v>
      </c>
      <c r="C30" s="54" t="s">
        <v>38</v>
      </c>
      <c r="D30" s="18">
        <v>5</v>
      </c>
      <c r="E30" s="96">
        <f>D30*0.1</f>
        <v>0.5</v>
      </c>
      <c r="F30" s="97">
        <v>0.25</v>
      </c>
      <c r="G30" s="97"/>
      <c r="H30" s="97">
        <v>0.25</v>
      </c>
      <c r="I30" s="97"/>
      <c r="J30"/>
      <c r="K30"/>
    </row>
    <row r="31" spans="1:11" ht="12.75">
      <c r="A31" s="20" t="s">
        <v>41</v>
      </c>
      <c r="B31" s="20" t="s">
        <v>42</v>
      </c>
      <c r="C31" s="54"/>
      <c r="D31" s="18"/>
      <c r="E31" s="96"/>
      <c r="F31" s="97"/>
      <c r="G31" s="97"/>
      <c r="H31" s="97"/>
      <c r="I31" s="97"/>
      <c r="J31"/>
      <c r="K31"/>
    </row>
    <row r="32" spans="1:11" ht="12.75">
      <c r="A32" s="20"/>
      <c r="B32" s="20" t="s">
        <v>43</v>
      </c>
      <c r="C32" s="54" t="s">
        <v>44</v>
      </c>
      <c r="D32" s="18">
        <v>8</v>
      </c>
      <c r="E32" s="96">
        <f>D32*0.05</f>
        <v>0.4</v>
      </c>
      <c r="F32" s="97">
        <v>0.2</v>
      </c>
      <c r="G32" s="97"/>
      <c r="H32" s="97">
        <v>0.2</v>
      </c>
      <c r="I32" s="97"/>
      <c r="J32"/>
      <c r="K32"/>
    </row>
    <row r="33" spans="1:11" ht="12.75">
      <c r="A33" s="20"/>
      <c r="B33" s="20" t="s">
        <v>45</v>
      </c>
      <c r="C33" s="54" t="s">
        <v>46</v>
      </c>
      <c r="D33" s="18"/>
      <c r="E33" s="96"/>
      <c r="F33" s="97"/>
      <c r="G33" s="97"/>
      <c r="H33" s="97"/>
      <c r="I33" s="97"/>
      <c r="J33"/>
      <c r="K33"/>
    </row>
    <row r="34" spans="1:11" ht="12.75">
      <c r="A34" s="20" t="s">
        <v>47</v>
      </c>
      <c r="B34" s="20" t="s">
        <v>48</v>
      </c>
      <c r="C34" s="54"/>
      <c r="D34" s="18"/>
      <c r="E34" s="96"/>
      <c r="F34" s="97"/>
      <c r="G34" s="97"/>
      <c r="H34" s="97"/>
      <c r="I34" s="97"/>
      <c r="J34"/>
      <c r="K34"/>
    </row>
    <row r="35" spans="1:11" ht="12.75">
      <c r="A35" s="20"/>
      <c r="B35" s="20" t="s">
        <v>49</v>
      </c>
      <c r="C35" s="54" t="s">
        <v>50</v>
      </c>
      <c r="D35" s="18"/>
      <c r="E35" s="96"/>
      <c r="F35" s="97"/>
      <c r="G35" s="97"/>
      <c r="H35" s="97"/>
      <c r="I35" s="97"/>
      <c r="J35"/>
      <c r="K35"/>
    </row>
    <row r="36" spans="1:11" ht="12.75">
      <c r="A36" s="20"/>
      <c r="B36" s="20" t="s">
        <v>51</v>
      </c>
      <c r="C36" s="54" t="s">
        <v>50</v>
      </c>
      <c r="D36" s="18"/>
      <c r="E36" s="96"/>
      <c r="F36" s="97"/>
      <c r="G36" s="97"/>
      <c r="H36" s="97"/>
      <c r="I36" s="97"/>
      <c r="J36"/>
      <c r="K36"/>
    </row>
    <row r="37" spans="1:11" ht="12.75">
      <c r="A37" s="20" t="s">
        <v>52</v>
      </c>
      <c r="B37" s="20" t="s">
        <v>53</v>
      </c>
      <c r="C37" s="54" t="s">
        <v>54</v>
      </c>
      <c r="D37" s="18">
        <v>1400</v>
      </c>
      <c r="E37" s="96">
        <f>D37*0.0134</f>
        <v>18.76</v>
      </c>
      <c r="F37" s="97">
        <v>18.76</v>
      </c>
      <c r="G37" s="97"/>
      <c r="H37" s="97"/>
      <c r="I37" s="97"/>
      <c r="J37"/>
      <c r="K37"/>
    </row>
    <row r="38" spans="1:11" ht="12.75">
      <c r="A38" s="20" t="s">
        <v>99</v>
      </c>
      <c r="B38" s="20" t="s">
        <v>129</v>
      </c>
      <c r="C38" s="54" t="s">
        <v>130</v>
      </c>
      <c r="D38" s="18">
        <v>10</v>
      </c>
      <c r="E38" s="96">
        <v>7</v>
      </c>
      <c r="F38" s="97">
        <v>7</v>
      </c>
      <c r="G38" s="97"/>
      <c r="H38" s="97"/>
      <c r="I38" s="97"/>
      <c r="J38"/>
      <c r="K38"/>
    </row>
    <row r="39" spans="1:11" ht="12.75">
      <c r="A39" s="20" t="s">
        <v>102</v>
      </c>
      <c r="B39" s="20" t="s">
        <v>131</v>
      </c>
      <c r="C39" s="54" t="s">
        <v>132</v>
      </c>
      <c r="D39" s="18">
        <v>0</v>
      </c>
      <c r="E39" s="96">
        <v>0</v>
      </c>
      <c r="F39" s="97"/>
      <c r="G39" s="97"/>
      <c r="H39" s="97"/>
      <c r="I39" s="97"/>
      <c r="J39"/>
      <c r="K39"/>
    </row>
    <row r="40" spans="1:11" ht="12.75">
      <c r="A40" s="55" t="s">
        <v>103</v>
      </c>
      <c r="B40" s="21" t="s">
        <v>133</v>
      </c>
      <c r="C40" s="22" t="s">
        <v>61</v>
      </c>
      <c r="D40" s="18">
        <v>108</v>
      </c>
      <c r="E40" s="96">
        <f>D40*15*12/1000</f>
        <v>19.44</v>
      </c>
      <c r="F40" s="97">
        <f>E40/4</f>
        <v>4.86</v>
      </c>
      <c r="G40" s="97">
        <v>4.86</v>
      </c>
      <c r="H40" s="97">
        <v>4.86</v>
      </c>
      <c r="I40" s="97">
        <v>4.86</v>
      </c>
      <c r="J40"/>
      <c r="K40"/>
    </row>
    <row r="41" spans="1:11" ht="12.75">
      <c r="A41" s="142" t="s">
        <v>145</v>
      </c>
      <c r="B41" s="140"/>
      <c r="C41" s="140"/>
      <c r="D41" s="141"/>
      <c r="E41" s="99">
        <f>SUM(E17:E40)</f>
        <v>65.46</v>
      </c>
      <c r="F41" s="100">
        <f>SUM(F17:F40)</f>
        <v>31.07</v>
      </c>
      <c r="G41" s="100">
        <f>SUM(G17:G40)</f>
        <v>14.54</v>
      </c>
      <c r="H41" s="100">
        <f>SUM(H17:H40)</f>
        <v>14.989999999999998</v>
      </c>
      <c r="I41" s="100">
        <f>SUM(I17:I40)</f>
        <v>4.86</v>
      </c>
      <c r="J41" s="71">
        <f>F41+G41+H41+I41</f>
        <v>65.46</v>
      </c>
      <c r="K41" s="43"/>
    </row>
    <row r="42" spans="1:9" ht="12.75">
      <c r="A42" s="147" t="s">
        <v>55</v>
      </c>
      <c r="B42" s="148"/>
      <c r="C42" s="148"/>
      <c r="D42" s="149"/>
      <c r="E42" s="101"/>
      <c r="F42" s="97"/>
      <c r="G42" s="97"/>
      <c r="H42" s="97"/>
      <c r="I42" s="97"/>
    </row>
    <row r="43" spans="1:9" ht="12.75">
      <c r="A43" s="53" t="s">
        <v>7</v>
      </c>
      <c r="B43" s="56" t="s">
        <v>8</v>
      </c>
      <c r="C43" s="20"/>
      <c r="D43" s="18"/>
      <c r="E43" s="96"/>
      <c r="F43" s="97"/>
      <c r="G43" s="97"/>
      <c r="H43" s="97"/>
      <c r="I43" s="97"/>
    </row>
    <row r="44" spans="1:9" ht="12.75">
      <c r="A44" s="20" t="s">
        <v>9</v>
      </c>
      <c r="B44" s="20" t="s">
        <v>56</v>
      </c>
      <c r="C44" s="20"/>
      <c r="D44" s="18"/>
      <c r="E44" s="96"/>
      <c r="F44" s="97"/>
      <c r="G44" s="97"/>
      <c r="H44" s="97"/>
      <c r="I44" s="97"/>
    </row>
    <row r="45" spans="1:9" ht="14.25" customHeight="1">
      <c r="A45" s="20"/>
      <c r="B45" s="20" t="s">
        <v>57</v>
      </c>
      <c r="C45" s="22" t="s">
        <v>14</v>
      </c>
      <c r="D45" s="18">
        <v>4.2</v>
      </c>
      <c r="E45" s="96">
        <f>D45*1.1</f>
        <v>4.620000000000001</v>
      </c>
      <c r="F45" s="97">
        <f>E45/4</f>
        <v>1.1550000000000002</v>
      </c>
      <c r="G45" s="97">
        <v>1.16</v>
      </c>
      <c r="H45" s="97">
        <v>1.16</v>
      </c>
      <c r="I45" s="97">
        <v>1.16</v>
      </c>
    </row>
    <row r="46" spans="1:9" ht="27.75" customHeight="1">
      <c r="A46" s="20"/>
      <c r="B46" s="20" t="s">
        <v>58</v>
      </c>
      <c r="C46" s="22" t="s">
        <v>59</v>
      </c>
      <c r="D46" s="18">
        <v>1.1</v>
      </c>
      <c r="E46" s="96">
        <f>D46*0.4</f>
        <v>0.44000000000000006</v>
      </c>
      <c r="F46" s="97">
        <v>0.22</v>
      </c>
      <c r="G46" s="97"/>
      <c r="H46" s="97">
        <v>0.22</v>
      </c>
      <c r="I46" s="97"/>
    </row>
    <row r="47" spans="1:9" ht="12.75">
      <c r="A47" s="20" t="s">
        <v>12</v>
      </c>
      <c r="B47" s="21" t="s">
        <v>60</v>
      </c>
      <c r="C47" s="22" t="s">
        <v>61</v>
      </c>
      <c r="D47" s="18">
        <v>90</v>
      </c>
      <c r="E47" s="96">
        <f>0.1*D47</f>
        <v>9</v>
      </c>
      <c r="F47" s="97">
        <f>E47/4</f>
        <v>2.25</v>
      </c>
      <c r="G47" s="97">
        <v>2.25</v>
      </c>
      <c r="H47" s="97">
        <v>2.25</v>
      </c>
      <c r="I47" s="97">
        <v>2.25</v>
      </c>
    </row>
    <row r="48" spans="1:9" ht="25.5">
      <c r="A48" s="20" t="s">
        <v>15</v>
      </c>
      <c r="B48" s="21" t="s">
        <v>62</v>
      </c>
      <c r="C48" s="22"/>
      <c r="D48" s="18"/>
      <c r="E48" s="96"/>
      <c r="F48" s="97"/>
      <c r="G48" s="97"/>
      <c r="H48" s="97"/>
      <c r="I48" s="97"/>
    </row>
    <row r="49" spans="1:11" ht="16.5" customHeight="1">
      <c r="A49" s="20"/>
      <c r="B49" s="20" t="s">
        <v>57</v>
      </c>
      <c r="C49" s="22" t="s">
        <v>14</v>
      </c>
      <c r="D49" s="18">
        <v>4.2</v>
      </c>
      <c r="E49" s="96">
        <f>D49*0.9</f>
        <v>3.7800000000000002</v>
      </c>
      <c r="F49" s="97">
        <f>E49/4</f>
        <v>0.9450000000000001</v>
      </c>
      <c r="G49" s="97">
        <v>0.95</v>
      </c>
      <c r="H49" s="97">
        <v>0.95</v>
      </c>
      <c r="I49" s="97">
        <f>E49-F49-G49-H49</f>
        <v>0.935</v>
      </c>
      <c r="J49"/>
      <c r="K49"/>
    </row>
    <row r="50" spans="1:9" ht="12" customHeight="1">
      <c r="A50" s="20"/>
      <c r="B50" s="20" t="s">
        <v>63</v>
      </c>
      <c r="C50" s="22" t="s">
        <v>136</v>
      </c>
      <c r="D50" s="18">
        <v>25</v>
      </c>
      <c r="E50" s="96">
        <f>D50*0.01</f>
        <v>0.25</v>
      </c>
      <c r="F50" s="97">
        <v>0.25</v>
      </c>
      <c r="G50" s="97"/>
      <c r="H50" s="97"/>
      <c r="I50" s="97"/>
    </row>
    <row r="51" spans="1:9" ht="12.75">
      <c r="A51" s="20"/>
      <c r="B51" s="57" t="s">
        <v>158</v>
      </c>
      <c r="C51" s="22" t="s">
        <v>64</v>
      </c>
      <c r="D51" s="18"/>
      <c r="E51" s="96"/>
      <c r="F51" s="97"/>
      <c r="G51" s="97"/>
      <c r="H51" s="97"/>
      <c r="I51" s="97"/>
    </row>
    <row r="52" spans="1:9" ht="12.75">
      <c r="A52" s="20" t="s">
        <v>17</v>
      </c>
      <c r="B52" s="20" t="s">
        <v>65</v>
      </c>
      <c r="C52" s="22" t="s">
        <v>66</v>
      </c>
      <c r="D52" s="18">
        <v>80</v>
      </c>
      <c r="E52" s="96">
        <f>D52*0.025</f>
        <v>2</v>
      </c>
      <c r="F52" s="97">
        <f>E52/4</f>
        <v>0.5</v>
      </c>
      <c r="G52" s="97">
        <v>0.5</v>
      </c>
      <c r="H52" s="97">
        <v>0.5</v>
      </c>
      <c r="I52" s="97">
        <v>0.5</v>
      </c>
    </row>
    <row r="53" spans="1:9" ht="12.75">
      <c r="A53" s="20" t="s">
        <v>19</v>
      </c>
      <c r="B53" s="20" t="s">
        <v>67</v>
      </c>
      <c r="C53" s="22" t="s">
        <v>68</v>
      </c>
      <c r="D53" s="18">
        <v>30</v>
      </c>
      <c r="E53" s="96">
        <f>D53*0.04</f>
        <v>1.2</v>
      </c>
      <c r="F53" s="97">
        <f>E53/4</f>
        <v>0.3</v>
      </c>
      <c r="G53" s="97">
        <v>0.3</v>
      </c>
      <c r="H53" s="97">
        <v>0.3</v>
      </c>
      <c r="I53" s="97">
        <v>0.3</v>
      </c>
    </row>
    <row r="54" spans="1:9" ht="12.75">
      <c r="A54" s="20" t="s">
        <v>21</v>
      </c>
      <c r="B54" s="20" t="s">
        <v>69</v>
      </c>
      <c r="C54" s="22" t="s">
        <v>87</v>
      </c>
      <c r="D54" s="18">
        <v>30</v>
      </c>
      <c r="E54" s="96">
        <f>D54*0.068</f>
        <v>2.04</v>
      </c>
      <c r="F54" s="97">
        <f>E54/4</f>
        <v>0.51</v>
      </c>
      <c r="G54" s="97">
        <v>0.51</v>
      </c>
      <c r="H54" s="97">
        <v>0.51</v>
      </c>
      <c r="I54" s="97">
        <v>0.51</v>
      </c>
    </row>
    <row r="55" spans="1:9" ht="25.5">
      <c r="A55" s="46" t="s">
        <v>23</v>
      </c>
      <c r="B55" s="21" t="s">
        <v>71</v>
      </c>
      <c r="C55" s="22" t="s">
        <v>72</v>
      </c>
      <c r="D55" s="18">
        <v>30</v>
      </c>
      <c r="E55" s="96">
        <f>D55*0.05</f>
        <v>1.5</v>
      </c>
      <c r="F55" s="97">
        <f>E55/4</f>
        <v>0.375</v>
      </c>
      <c r="G55" s="97">
        <v>0.38</v>
      </c>
      <c r="H55" s="97">
        <v>0.38</v>
      </c>
      <c r="I55" s="97">
        <f>E55-F55-G55-H55</f>
        <v>0.365</v>
      </c>
    </row>
    <row r="56" spans="1:9" ht="12.75">
      <c r="A56" s="20" t="s">
        <v>73</v>
      </c>
      <c r="B56" s="20" t="s">
        <v>74</v>
      </c>
      <c r="C56" s="22" t="s">
        <v>75</v>
      </c>
      <c r="D56" s="18">
        <v>0</v>
      </c>
      <c r="E56" s="96">
        <f>D56*0.1</f>
        <v>0</v>
      </c>
      <c r="F56" s="97"/>
      <c r="G56" s="97"/>
      <c r="H56" s="97"/>
      <c r="I56" s="97"/>
    </row>
    <row r="57" spans="1:9" ht="25.5">
      <c r="A57" s="20" t="s">
        <v>26</v>
      </c>
      <c r="B57" s="21" t="s">
        <v>77</v>
      </c>
      <c r="C57" s="22" t="s">
        <v>68</v>
      </c>
      <c r="D57" s="18">
        <v>45</v>
      </c>
      <c r="E57" s="96">
        <f>D57*0.032</f>
        <v>1.44</v>
      </c>
      <c r="F57" s="97">
        <f>E57/4</f>
        <v>0.36</v>
      </c>
      <c r="G57" s="97">
        <v>0.36</v>
      </c>
      <c r="H57" s="97">
        <v>0.36</v>
      </c>
      <c r="I57" s="97">
        <v>0.35</v>
      </c>
    </row>
    <row r="58" spans="1:9" ht="25.5">
      <c r="A58" s="20" t="s">
        <v>28</v>
      </c>
      <c r="B58" s="21" t="s">
        <v>79</v>
      </c>
      <c r="C58" s="22" t="s">
        <v>80</v>
      </c>
      <c r="D58" s="18"/>
      <c r="E58" s="96"/>
      <c r="F58" s="97"/>
      <c r="G58" s="97"/>
      <c r="H58" s="97"/>
      <c r="I58" s="97"/>
    </row>
    <row r="59" spans="1:9" ht="12.75">
      <c r="A59" s="20" t="s">
        <v>70</v>
      </c>
      <c r="B59" s="21" t="s">
        <v>82</v>
      </c>
      <c r="C59" s="22" t="s">
        <v>83</v>
      </c>
      <c r="D59" s="18">
        <v>100</v>
      </c>
      <c r="E59" s="96">
        <f>D59*0.02</f>
        <v>2</v>
      </c>
      <c r="F59" s="97">
        <f>E59/4</f>
        <v>0.5</v>
      </c>
      <c r="G59" s="97">
        <v>0.5</v>
      </c>
      <c r="H59" s="97">
        <v>0.5</v>
      </c>
      <c r="I59" s="97">
        <v>0.5</v>
      </c>
    </row>
    <row r="60" spans="1:9" ht="12.75">
      <c r="A60" s="20" t="s">
        <v>73</v>
      </c>
      <c r="B60" s="21" t="s">
        <v>154</v>
      </c>
      <c r="C60" s="22" t="s">
        <v>144</v>
      </c>
      <c r="D60" s="18">
        <v>10</v>
      </c>
      <c r="E60" s="96">
        <f>D60*0.128</f>
        <v>1.28</v>
      </c>
      <c r="F60" s="97">
        <f>E60/4</f>
        <v>0.32</v>
      </c>
      <c r="G60" s="97">
        <v>0.32</v>
      </c>
      <c r="H60" s="97">
        <v>0.32</v>
      </c>
      <c r="I60" s="97">
        <f>E60-F60-G60-H60</f>
        <v>0.3199999999999999</v>
      </c>
    </row>
    <row r="61" spans="1:9" ht="12.75">
      <c r="A61" s="20" t="s">
        <v>76</v>
      </c>
      <c r="B61" s="21" t="s">
        <v>155</v>
      </c>
      <c r="C61" s="22" t="s">
        <v>144</v>
      </c>
      <c r="D61" s="18">
        <v>10</v>
      </c>
      <c r="E61" s="96">
        <f>D61*0.152</f>
        <v>1.52</v>
      </c>
      <c r="F61" s="97">
        <f>E61/4</f>
        <v>0.38</v>
      </c>
      <c r="G61" s="97">
        <v>0.38</v>
      </c>
      <c r="H61" s="97">
        <v>0.38</v>
      </c>
      <c r="I61" s="97">
        <v>0.38</v>
      </c>
    </row>
    <row r="62" spans="1:9" ht="12.75" customHeight="1">
      <c r="A62" s="46" t="s">
        <v>78</v>
      </c>
      <c r="B62" s="21" t="s">
        <v>84</v>
      </c>
      <c r="C62" s="22" t="s">
        <v>85</v>
      </c>
      <c r="D62" s="18">
        <v>10</v>
      </c>
      <c r="E62" s="96">
        <f>D62*0.1</f>
        <v>1</v>
      </c>
      <c r="F62" s="97">
        <f>E62/4</f>
        <v>0.25</v>
      </c>
      <c r="G62" s="97">
        <v>0.25</v>
      </c>
      <c r="H62" s="97">
        <v>0.25</v>
      </c>
      <c r="I62" s="97">
        <v>0.25</v>
      </c>
    </row>
    <row r="63" spans="1:9" ht="12.75">
      <c r="A63" s="46" t="s">
        <v>81</v>
      </c>
      <c r="B63" s="21" t="s">
        <v>86</v>
      </c>
      <c r="C63" s="22" t="s">
        <v>87</v>
      </c>
      <c r="D63" s="18">
        <v>30</v>
      </c>
      <c r="E63" s="96">
        <f>D63*0.03</f>
        <v>0.8999999999999999</v>
      </c>
      <c r="F63" s="97">
        <f>E63/4</f>
        <v>0.22499999999999998</v>
      </c>
      <c r="G63" s="97">
        <v>0.23</v>
      </c>
      <c r="H63" s="97">
        <v>0.23</v>
      </c>
      <c r="I63" s="97">
        <f>E63-F63-G63-H63</f>
        <v>0.21499999999999994</v>
      </c>
    </row>
    <row r="64" spans="1:9" ht="12.75">
      <c r="A64" s="46" t="s">
        <v>156</v>
      </c>
      <c r="B64" s="21" t="s">
        <v>88</v>
      </c>
      <c r="C64" s="22" t="s">
        <v>89</v>
      </c>
      <c r="D64" s="18">
        <v>0</v>
      </c>
      <c r="E64" s="96">
        <f>D64*0.02</f>
        <v>0</v>
      </c>
      <c r="F64" s="97"/>
      <c r="G64" s="97"/>
      <c r="H64" s="97"/>
      <c r="I64" s="97"/>
    </row>
    <row r="65" spans="1:9" ht="12.75">
      <c r="A65" s="46" t="s">
        <v>157</v>
      </c>
      <c r="B65" s="37" t="s">
        <v>143</v>
      </c>
      <c r="C65" s="37" t="s">
        <v>144</v>
      </c>
      <c r="D65" s="37">
        <v>35</v>
      </c>
      <c r="E65" s="97">
        <f>D65*0.15</f>
        <v>5.25</v>
      </c>
      <c r="F65" s="97">
        <f>E65/4</f>
        <v>1.3125</v>
      </c>
      <c r="G65" s="97">
        <v>1.31</v>
      </c>
      <c r="H65" s="97">
        <v>1.31</v>
      </c>
      <c r="I65" s="97">
        <v>1.31</v>
      </c>
    </row>
    <row r="66" spans="1:9" ht="12.75">
      <c r="A66" s="20" t="s">
        <v>31</v>
      </c>
      <c r="B66" s="137" t="s">
        <v>32</v>
      </c>
      <c r="C66" s="138"/>
      <c r="D66" s="138"/>
      <c r="E66" s="98"/>
      <c r="F66" s="97"/>
      <c r="G66" s="97"/>
      <c r="H66" s="97"/>
      <c r="I66" s="97"/>
    </row>
    <row r="67" spans="1:9" ht="13.5" customHeight="1">
      <c r="A67" s="20" t="s">
        <v>33</v>
      </c>
      <c r="B67" s="21" t="s">
        <v>90</v>
      </c>
      <c r="C67" s="22" t="s">
        <v>91</v>
      </c>
      <c r="D67" s="18">
        <v>24</v>
      </c>
      <c r="E67" s="96">
        <f>D67*0.2</f>
        <v>4.800000000000001</v>
      </c>
      <c r="F67" s="97"/>
      <c r="G67" s="97">
        <v>4.8</v>
      </c>
      <c r="H67" s="97"/>
      <c r="I67" s="97"/>
    </row>
    <row r="68" spans="1:9" ht="12.75">
      <c r="A68" s="20" t="s">
        <v>39</v>
      </c>
      <c r="B68" s="137" t="s">
        <v>32</v>
      </c>
      <c r="C68" s="138"/>
      <c r="D68" s="138"/>
      <c r="E68" s="98"/>
      <c r="F68" s="97"/>
      <c r="G68" s="97"/>
      <c r="H68" s="97"/>
      <c r="I68" s="97"/>
    </row>
    <row r="69" spans="1:9" ht="17.25" customHeight="1">
      <c r="A69" s="20" t="s">
        <v>40</v>
      </c>
      <c r="B69" s="21" t="s">
        <v>92</v>
      </c>
      <c r="C69" s="22" t="s">
        <v>93</v>
      </c>
      <c r="D69" s="18">
        <v>2</v>
      </c>
      <c r="E69" s="96">
        <f>D69*0.85</f>
        <v>1.7</v>
      </c>
      <c r="F69" s="97"/>
      <c r="G69" s="97">
        <v>1.7</v>
      </c>
      <c r="H69" s="97"/>
      <c r="I69" s="97"/>
    </row>
    <row r="70" spans="1:9" ht="12.75">
      <c r="A70" s="20" t="s">
        <v>41</v>
      </c>
      <c r="B70" s="21" t="s">
        <v>94</v>
      </c>
      <c r="C70" s="22" t="s">
        <v>95</v>
      </c>
      <c r="D70" s="18"/>
      <c r="E70" s="96"/>
      <c r="F70" s="97"/>
      <c r="G70" s="97"/>
      <c r="H70" s="97"/>
      <c r="I70" s="97"/>
    </row>
    <row r="71" spans="1:9" ht="16.5" customHeight="1">
      <c r="A71" s="20" t="s">
        <v>47</v>
      </c>
      <c r="B71" s="21" t="s">
        <v>96</v>
      </c>
      <c r="C71" s="22" t="s">
        <v>97</v>
      </c>
      <c r="D71" s="18">
        <v>405.27</v>
      </c>
      <c r="E71" s="96">
        <f>D71*0.0976</f>
        <v>39.554352</v>
      </c>
      <c r="F71" s="97"/>
      <c r="G71" s="97"/>
      <c r="H71" s="97">
        <v>39.55</v>
      </c>
      <c r="I71" s="97"/>
    </row>
    <row r="72" spans="1:9" ht="12.75">
      <c r="A72" s="20" t="s">
        <v>52</v>
      </c>
      <c r="B72" s="21" t="s">
        <v>98</v>
      </c>
      <c r="C72" s="22" t="s">
        <v>91</v>
      </c>
      <c r="D72" s="18">
        <v>24</v>
      </c>
      <c r="E72" s="96">
        <f>D72*0.874</f>
        <v>20.976</v>
      </c>
      <c r="F72" s="97"/>
      <c r="G72" s="97"/>
      <c r="H72" s="97">
        <v>20.98</v>
      </c>
      <c r="I72" s="97"/>
    </row>
    <row r="73" spans="1:9" ht="12.75">
      <c r="A73" s="20" t="s">
        <v>99</v>
      </c>
      <c r="B73" s="21" t="s">
        <v>100</v>
      </c>
      <c r="C73" s="22" t="s">
        <v>101</v>
      </c>
      <c r="D73" s="18">
        <v>140</v>
      </c>
      <c r="E73" s="96">
        <f>D73*0.1</f>
        <v>14</v>
      </c>
      <c r="F73" s="97">
        <f>E73/2</f>
        <v>7</v>
      </c>
      <c r="G73" s="97"/>
      <c r="H73" s="97"/>
      <c r="I73" s="97">
        <v>7</v>
      </c>
    </row>
    <row r="74" spans="1:9" ht="12.75">
      <c r="A74" s="20" t="s">
        <v>102</v>
      </c>
      <c r="B74" s="21" t="s">
        <v>134</v>
      </c>
      <c r="C74" s="22" t="s">
        <v>130</v>
      </c>
      <c r="D74" s="18">
        <v>8</v>
      </c>
      <c r="E74" s="96">
        <f>D74*0.85</f>
        <v>6.8</v>
      </c>
      <c r="F74" s="97">
        <f>E74/4</f>
        <v>1.7</v>
      </c>
      <c r="G74" s="97">
        <v>1.7</v>
      </c>
      <c r="H74" s="97">
        <v>1.7</v>
      </c>
      <c r="I74" s="97">
        <f>E74-F74-G74-H74</f>
        <v>1.6999999999999995</v>
      </c>
    </row>
    <row r="75" spans="1:9" ht="12.75">
      <c r="A75" s="20" t="s">
        <v>103</v>
      </c>
      <c r="B75" s="57" t="s">
        <v>175</v>
      </c>
      <c r="C75" s="58" t="s">
        <v>130</v>
      </c>
      <c r="D75" s="18">
        <v>2</v>
      </c>
      <c r="E75" s="96">
        <v>6</v>
      </c>
      <c r="F75" s="97"/>
      <c r="G75" s="97">
        <v>3</v>
      </c>
      <c r="H75" s="97">
        <v>3</v>
      </c>
      <c r="I75" s="97"/>
    </row>
    <row r="76" spans="1:11" ht="12.75">
      <c r="A76" s="142" t="s">
        <v>146</v>
      </c>
      <c r="B76" s="140"/>
      <c r="C76" s="140"/>
      <c r="D76" s="141"/>
      <c r="E76" s="99">
        <f>SUM(E45:E75)</f>
        <v>132.05035200000003</v>
      </c>
      <c r="F76" s="100">
        <f>SUM(F44:F75)</f>
        <v>18.5525</v>
      </c>
      <c r="G76" s="100">
        <f>SUM(G44:G75)</f>
        <v>20.599999999999998</v>
      </c>
      <c r="H76" s="100">
        <f>SUM(H44:H75)</f>
        <v>74.85000000000001</v>
      </c>
      <c r="I76" s="100">
        <f>SUM(I44:I75)</f>
        <v>18.044999999999998</v>
      </c>
      <c r="J76" s="72">
        <f>F76+G76+H76+I76</f>
        <v>132.04749999999999</v>
      </c>
      <c r="K76" s="68"/>
    </row>
    <row r="77" spans="1:9" ht="12.75">
      <c r="A77" s="51" t="s">
        <v>104</v>
      </c>
      <c r="B77" s="39"/>
      <c r="C77" s="39"/>
      <c r="D77" s="39"/>
      <c r="E77" s="102"/>
      <c r="F77" s="97"/>
      <c r="G77" s="97"/>
      <c r="H77" s="97"/>
      <c r="I77" s="97"/>
    </row>
    <row r="78" spans="1:9" ht="12.75">
      <c r="A78" s="53" t="s">
        <v>7</v>
      </c>
      <c r="B78" s="56" t="s">
        <v>105</v>
      </c>
      <c r="C78" s="22"/>
      <c r="D78" s="18"/>
      <c r="E78" s="96"/>
      <c r="F78" s="97"/>
      <c r="G78" s="97"/>
      <c r="H78" s="97"/>
      <c r="I78" s="97"/>
    </row>
    <row r="79" spans="1:9" ht="12.75">
      <c r="A79" s="20" t="s">
        <v>9</v>
      </c>
      <c r="B79" s="20" t="s">
        <v>106</v>
      </c>
      <c r="C79" s="22" t="s">
        <v>107</v>
      </c>
      <c r="D79" s="18">
        <v>14466</v>
      </c>
      <c r="E79" s="96">
        <v>166.4</v>
      </c>
      <c r="F79" s="97">
        <f>E79/4</f>
        <v>41.6</v>
      </c>
      <c r="G79" s="97">
        <v>41.6</v>
      </c>
      <c r="H79" s="97">
        <v>41.6</v>
      </c>
      <c r="I79" s="97">
        <v>41.6</v>
      </c>
    </row>
    <row r="80" spans="1:9" ht="12.75">
      <c r="A80" s="20" t="s">
        <v>12</v>
      </c>
      <c r="B80" s="21" t="s">
        <v>108</v>
      </c>
      <c r="C80" s="22" t="s">
        <v>109</v>
      </c>
      <c r="D80" s="18">
        <v>1</v>
      </c>
      <c r="E80" s="96">
        <v>10</v>
      </c>
      <c r="F80" s="97"/>
      <c r="G80" s="97">
        <v>5</v>
      </c>
      <c r="H80" s="97">
        <v>5</v>
      </c>
      <c r="I80" s="97"/>
    </row>
    <row r="81" spans="1:9" ht="12.75">
      <c r="A81" s="20" t="s">
        <v>15</v>
      </c>
      <c r="B81" s="21" t="s">
        <v>110</v>
      </c>
      <c r="C81" s="22" t="s">
        <v>107</v>
      </c>
      <c r="D81" s="18">
        <v>6000</v>
      </c>
      <c r="E81" s="96">
        <v>10</v>
      </c>
      <c r="F81" s="97"/>
      <c r="G81" s="97">
        <v>5</v>
      </c>
      <c r="H81" s="97">
        <v>5</v>
      </c>
      <c r="I81" s="97"/>
    </row>
    <row r="82" spans="1:9" ht="12.75">
      <c r="A82" s="20" t="s">
        <v>31</v>
      </c>
      <c r="B82" s="56" t="s">
        <v>111</v>
      </c>
      <c r="C82" s="22"/>
      <c r="D82" s="18"/>
      <c r="E82" s="96"/>
      <c r="F82" s="97"/>
      <c r="G82" s="97"/>
      <c r="H82" s="97"/>
      <c r="I82" s="97"/>
    </row>
    <row r="83" spans="1:9" ht="25.5">
      <c r="A83" s="20"/>
      <c r="B83" s="21" t="s">
        <v>112</v>
      </c>
      <c r="C83" s="22" t="s">
        <v>113</v>
      </c>
      <c r="D83" s="18"/>
      <c r="E83" s="96"/>
      <c r="F83" s="97"/>
      <c r="G83" s="97"/>
      <c r="H83" s="97"/>
      <c r="I83" s="97"/>
    </row>
    <row r="84" spans="1:9" ht="25.5">
      <c r="A84" s="20"/>
      <c r="B84" s="21" t="s">
        <v>114</v>
      </c>
      <c r="C84" s="22" t="s">
        <v>113</v>
      </c>
      <c r="D84" s="18">
        <v>1079</v>
      </c>
      <c r="E84" s="96">
        <v>43.2</v>
      </c>
      <c r="F84" s="97">
        <f>E84/4</f>
        <v>10.8</v>
      </c>
      <c r="G84" s="97">
        <v>10.8</v>
      </c>
      <c r="H84" s="97">
        <v>10.8</v>
      </c>
      <c r="I84" s="97">
        <v>10.8</v>
      </c>
    </row>
    <row r="85" spans="1:11" ht="12.75">
      <c r="A85" s="139" t="s">
        <v>147</v>
      </c>
      <c r="B85" s="140"/>
      <c r="C85" s="140"/>
      <c r="D85" s="141"/>
      <c r="E85" s="99">
        <f>SUM(E79:E84)</f>
        <v>229.60000000000002</v>
      </c>
      <c r="F85" s="100">
        <f>SUM(F79:F84)</f>
        <v>52.400000000000006</v>
      </c>
      <c r="G85" s="100">
        <f>SUM(G79:G84)</f>
        <v>62.400000000000006</v>
      </c>
      <c r="H85" s="100">
        <f>SUM(H79:H84)</f>
        <v>62.400000000000006</v>
      </c>
      <c r="I85" s="100">
        <f>SUM(I79:I84)</f>
        <v>52.400000000000006</v>
      </c>
      <c r="J85" s="72">
        <f>F85+G85+H85+I85</f>
        <v>229.60000000000002</v>
      </c>
      <c r="K85" s="68"/>
    </row>
    <row r="86" spans="1:9" ht="12.75">
      <c r="A86" s="136" t="s">
        <v>115</v>
      </c>
      <c r="B86" s="136"/>
      <c r="C86" s="136"/>
      <c r="D86" s="136"/>
      <c r="E86" s="102"/>
      <c r="F86" s="97"/>
      <c r="G86" s="97"/>
      <c r="H86" s="97"/>
      <c r="I86" s="97"/>
    </row>
    <row r="87" spans="1:9" ht="12.75">
      <c r="A87" s="59">
        <v>1</v>
      </c>
      <c r="B87" s="53" t="s">
        <v>126</v>
      </c>
      <c r="C87" s="60" t="s">
        <v>127</v>
      </c>
      <c r="D87" s="52">
        <v>9596.8</v>
      </c>
      <c r="E87" s="103">
        <f>D87*0.59*12/1000</f>
        <v>67.94534399999998</v>
      </c>
      <c r="F87" s="97">
        <f>E87/4</f>
        <v>16.986335999999994</v>
      </c>
      <c r="G87" s="97">
        <v>16.99</v>
      </c>
      <c r="H87" s="97">
        <v>16.99</v>
      </c>
      <c r="I87" s="97">
        <f>E87-F87-G87-H87</f>
        <v>16.97900799999999</v>
      </c>
    </row>
    <row r="88" spans="1:9" ht="12.75">
      <c r="A88" s="59">
        <v>2</v>
      </c>
      <c r="B88" s="53" t="s">
        <v>116</v>
      </c>
      <c r="C88" s="60" t="s">
        <v>117</v>
      </c>
      <c r="D88" s="52">
        <v>1220</v>
      </c>
      <c r="E88" s="104">
        <f>D88*1.4*2/1000</f>
        <v>3.416</v>
      </c>
      <c r="F88" s="97"/>
      <c r="G88" s="97">
        <f>E88/2</f>
        <v>1.708</v>
      </c>
      <c r="H88" s="97">
        <f>E88-G88</f>
        <v>1.708</v>
      </c>
      <c r="I88" s="97"/>
    </row>
    <row r="89" spans="1:9" ht="25.5">
      <c r="A89" s="59">
        <v>3</v>
      </c>
      <c r="B89" s="61" t="s">
        <v>128</v>
      </c>
      <c r="C89" s="60" t="s">
        <v>181</v>
      </c>
      <c r="D89" s="52"/>
      <c r="E89" s="103">
        <v>25</v>
      </c>
      <c r="F89" s="97">
        <f>E89/4</f>
        <v>6.25</v>
      </c>
      <c r="G89" s="97">
        <v>6.25</v>
      </c>
      <c r="H89" s="97">
        <v>6.25</v>
      </c>
      <c r="I89" s="97">
        <v>6.25</v>
      </c>
    </row>
    <row r="90" spans="1:10" ht="12.75">
      <c r="A90" s="59">
        <v>4</v>
      </c>
      <c r="B90" s="62" t="s">
        <v>148</v>
      </c>
      <c r="C90" s="60" t="s">
        <v>127</v>
      </c>
      <c r="D90" s="52">
        <v>9596.8</v>
      </c>
      <c r="E90" s="104">
        <v>91.801</v>
      </c>
      <c r="F90" s="97">
        <f>E90/4</f>
        <v>22.95025</v>
      </c>
      <c r="G90" s="97">
        <v>22.95</v>
      </c>
      <c r="H90" s="97">
        <v>22.95</v>
      </c>
      <c r="I90" s="97">
        <f>E90-F90-H90-G90</f>
        <v>22.950750000000003</v>
      </c>
      <c r="J90" s="23">
        <f>F92+G92+H92+I92</f>
        <v>615.2698439999999</v>
      </c>
    </row>
    <row r="91" spans="1:11" ht="12.75">
      <c r="A91" s="142" t="s">
        <v>149</v>
      </c>
      <c r="B91" s="140"/>
      <c r="C91" s="140"/>
      <c r="D91" s="141"/>
      <c r="E91" s="99">
        <f>SUM(E87:E90)</f>
        <v>188.16234399999996</v>
      </c>
      <c r="F91" s="100">
        <f>SUM(F87:F90)</f>
        <v>46.18658599999999</v>
      </c>
      <c r="G91" s="100">
        <f>SUM(G87:G90)</f>
        <v>47.897999999999996</v>
      </c>
      <c r="H91" s="100">
        <f>SUM(H87:H90)</f>
        <v>47.897999999999996</v>
      </c>
      <c r="I91" s="100">
        <f>SUM(I87:I90)</f>
        <v>46.17975799999999</v>
      </c>
      <c r="J91" s="72">
        <f>F91+G91+H91+I91</f>
        <v>188.16234399999996</v>
      </c>
      <c r="K91" s="68"/>
    </row>
    <row r="92" spans="1:11" ht="12.75">
      <c r="A92" s="139" t="s">
        <v>150</v>
      </c>
      <c r="B92" s="140"/>
      <c r="C92" s="140"/>
      <c r="D92" s="141"/>
      <c r="E92" s="99">
        <f>E41+E76+E85+E91</f>
        <v>615.272696</v>
      </c>
      <c r="F92" s="100">
        <f>F41+F76+F85+F91</f>
        <v>148.209086</v>
      </c>
      <c r="G92" s="100">
        <f>G41+G76+G85+G91</f>
        <v>145.438</v>
      </c>
      <c r="H92" s="100">
        <f>H41+H76+H85+H91</f>
        <v>200.138</v>
      </c>
      <c r="I92" s="100">
        <f>I41+I76+I85+I91</f>
        <v>121.484758</v>
      </c>
      <c r="J92" s="24">
        <v>615.266</v>
      </c>
      <c r="K92" s="23">
        <f>J92-E92</f>
        <v>-0.006696000000033564</v>
      </c>
    </row>
    <row r="93" spans="1:11" ht="25.5">
      <c r="A93" s="150">
        <v>1</v>
      </c>
      <c r="B93" s="63" t="s">
        <v>182</v>
      </c>
      <c r="C93" s="94" t="s">
        <v>107</v>
      </c>
      <c r="D93" s="52">
        <v>9596.8</v>
      </c>
      <c r="E93" s="104">
        <f>(2.32*D93*10/1000)+(4100*5*2/1000)</f>
        <v>263.64576</v>
      </c>
      <c r="F93" s="97">
        <f>E93/4</f>
        <v>65.91144</v>
      </c>
      <c r="G93" s="97">
        <v>65.91</v>
      </c>
      <c r="H93" s="97">
        <v>65.91</v>
      </c>
      <c r="I93" s="97">
        <v>65.91</v>
      </c>
      <c r="K93" s="23"/>
    </row>
    <row r="94" spans="1:11" ht="12.75">
      <c r="A94" s="151"/>
      <c r="B94" s="62" t="s">
        <v>183</v>
      </c>
      <c r="C94" s="66"/>
      <c r="D94" s="52"/>
      <c r="E94" s="104">
        <f>300.817-E93</f>
        <v>37.17124000000001</v>
      </c>
      <c r="F94" s="97">
        <f>E94/4</f>
        <v>9.292810000000003</v>
      </c>
      <c r="G94" s="97">
        <v>9.29</v>
      </c>
      <c r="H94" s="97">
        <v>9.29</v>
      </c>
      <c r="I94" s="97">
        <v>9.29</v>
      </c>
      <c r="K94" s="23"/>
    </row>
    <row r="95" spans="1:11" ht="25.5">
      <c r="A95" s="152"/>
      <c r="B95" s="82" t="s">
        <v>184</v>
      </c>
      <c r="C95" s="81"/>
      <c r="D95" s="41"/>
      <c r="E95" s="99">
        <f>SUM(E93:E94)</f>
        <v>300.817</v>
      </c>
      <c r="F95" s="100">
        <f>SUM(F93:F94)</f>
        <v>75.20425</v>
      </c>
      <c r="G95" s="100">
        <f>SUM(G93:G94)</f>
        <v>75.19999999999999</v>
      </c>
      <c r="H95" s="100">
        <f>SUM(H93:H94)</f>
        <v>75.19999999999999</v>
      </c>
      <c r="I95" s="100">
        <f>SUM(I93:I94)</f>
        <v>75.19999999999999</v>
      </c>
      <c r="J95" s="23">
        <f>F95+G95+H95+I95</f>
        <v>300.80424999999997</v>
      </c>
      <c r="K95" s="23"/>
    </row>
    <row r="96" spans="1:11" ht="25.5">
      <c r="A96" s="150">
        <v>2</v>
      </c>
      <c r="B96" s="62" t="s">
        <v>188</v>
      </c>
      <c r="C96" s="66" t="s">
        <v>107</v>
      </c>
      <c r="D96" s="52">
        <v>9596.8</v>
      </c>
      <c r="E96" s="104">
        <f>D96*1.62*12/1000</f>
        <v>186.56179200000003</v>
      </c>
      <c r="F96" s="97">
        <f>E96/4</f>
        <v>46.640448000000006</v>
      </c>
      <c r="G96" s="97">
        <v>46.64</v>
      </c>
      <c r="H96" s="97">
        <v>46.64</v>
      </c>
      <c r="I96" s="97">
        <v>46.64</v>
      </c>
      <c r="K96" s="23"/>
    </row>
    <row r="97" spans="1:11" ht="12.75">
      <c r="A97" s="151"/>
      <c r="B97" s="62" t="s">
        <v>183</v>
      </c>
      <c r="C97" s="66"/>
      <c r="D97" s="52"/>
      <c r="E97" s="104">
        <v>5.76</v>
      </c>
      <c r="F97" s="97">
        <f>E97/4</f>
        <v>1.44</v>
      </c>
      <c r="G97" s="97">
        <v>1.44</v>
      </c>
      <c r="H97" s="97">
        <v>1.44</v>
      </c>
      <c r="I97" s="97">
        <v>1.44</v>
      </c>
      <c r="K97" s="23"/>
    </row>
    <row r="98" spans="1:11" ht="12.75">
      <c r="A98" s="152"/>
      <c r="B98" s="82" t="s">
        <v>189</v>
      </c>
      <c r="C98" s="81"/>
      <c r="D98" s="41"/>
      <c r="E98" s="99">
        <f>SUM(E96:E97)</f>
        <v>192.32179200000002</v>
      </c>
      <c r="F98" s="100">
        <f>SUM(F96:F97)</f>
        <v>48.080448000000004</v>
      </c>
      <c r="G98" s="100">
        <f>SUM(G96:G97)</f>
        <v>48.08</v>
      </c>
      <c r="H98" s="100">
        <f>SUM(H96:H97)</f>
        <v>48.08</v>
      </c>
      <c r="I98" s="100">
        <f>SUM(I96:I97)</f>
        <v>48.08</v>
      </c>
      <c r="J98" s="23">
        <f>F98+G98+H98+I98</f>
        <v>192.320448</v>
      </c>
      <c r="K98" s="23"/>
    </row>
    <row r="99" spans="1:11" ht="25.5">
      <c r="A99" s="150">
        <v>3</v>
      </c>
      <c r="B99" s="62" t="s">
        <v>185</v>
      </c>
      <c r="C99" s="60" t="s">
        <v>107</v>
      </c>
      <c r="D99" s="52">
        <v>9596.8</v>
      </c>
      <c r="E99" s="104">
        <f>D99*0.45*12/1000</f>
        <v>51.82272</v>
      </c>
      <c r="F99" s="97">
        <f>E99/4</f>
        <v>12.95568</v>
      </c>
      <c r="G99" s="97">
        <v>12.96</v>
      </c>
      <c r="H99" s="97">
        <v>12.96</v>
      </c>
      <c r="I99" s="97">
        <v>12.96</v>
      </c>
      <c r="K99" s="23"/>
    </row>
    <row r="100" spans="1:11" ht="12.75">
      <c r="A100" s="151"/>
      <c r="B100" s="63" t="s">
        <v>183</v>
      </c>
      <c r="C100" s="60"/>
      <c r="D100" s="52"/>
      <c r="E100" s="104">
        <f>60.075-E99</f>
        <v>8.252280000000006</v>
      </c>
      <c r="F100" s="97">
        <f>E100/4</f>
        <v>2.0630700000000015</v>
      </c>
      <c r="G100" s="97">
        <v>2.06</v>
      </c>
      <c r="H100" s="97">
        <v>2.06</v>
      </c>
      <c r="I100" s="97">
        <v>2.06</v>
      </c>
      <c r="K100" s="23"/>
    </row>
    <row r="101" spans="1:11" ht="25.5">
      <c r="A101" s="152"/>
      <c r="B101" s="83" t="s">
        <v>186</v>
      </c>
      <c r="C101" s="84"/>
      <c r="D101" s="41"/>
      <c r="E101" s="99">
        <f>SUM(E99:E100)</f>
        <v>60.075</v>
      </c>
      <c r="F101" s="99">
        <f>SUM(F99:F100)</f>
        <v>15.01875</v>
      </c>
      <c r="G101" s="99">
        <f>SUM(G99:G100)</f>
        <v>15.020000000000001</v>
      </c>
      <c r="H101" s="99">
        <f>SUM(H99:H100)</f>
        <v>15.020000000000001</v>
      </c>
      <c r="I101" s="100">
        <f>SUM(I99:I100)</f>
        <v>15.020000000000001</v>
      </c>
      <c r="J101" s="23">
        <f>F101+G101+H101+I101</f>
        <v>60.07875000000001</v>
      </c>
      <c r="K101" s="23"/>
    </row>
    <row r="102" spans="1:11" ht="12.75">
      <c r="A102" s="126" t="s">
        <v>152</v>
      </c>
      <c r="B102" s="119"/>
      <c r="C102" s="119"/>
      <c r="D102" s="119"/>
      <c r="E102" s="105">
        <f>E95+E98+E101</f>
        <v>553.213792</v>
      </c>
      <c r="F102" s="105">
        <f>F95+F98+F101</f>
        <v>138.303448</v>
      </c>
      <c r="G102" s="105">
        <f>G95+G98+G101</f>
        <v>138.29999999999998</v>
      </c>
      <c r="H102" s="105">
        <f>H95+H98+H101</f>
        <v>138.29999999999998</v>
      </c>
      <c r="I102" s="105">
        <f>I95+I98+I101</f>
        <v>138.29999999999998</v>
      </c>
      <c r="K102" s="23"/>
    </row>
    <row r="103" spans="1:10" ht="15.75">
      <c r="A103" s="145" t="s">
        <v>153</v>
      </c>
      <c r="B103" s="146"/>
      <c r="C103" s="146"/>
      <c r="D103" s="146"/>
      <c r="E103" s="106">
        <f>E92+E102</f>
        <v>1168.486488</v>
      </c>
      <c r="F103" s="106">
        <f>F92+F102</f>
        <v>286.512534</v>
      </c>
      <c r="G103" s="106">
        <f>G92+G102</f>
        <v>283.73799999999994</v>
      </c>
      <c r="H103" s="106">
        <f>H92+H102</f>
        <v>338.438</v>
      </c>
      <c r="I103" s="106">
        <f>I92+I102</f>
        <v>259.784758</v>
      </c>
      <c r="J103" s="23">
        <f>F103+G103+H103+I103</f>
        <v>1168.4732920000001</v>
      </c>
    </row>
    <row r="104" spans="1:9" ht="12.75">
      <c r="A104" s="124" t="s">
        <v>118</v>
      </c>
      <c r="B104" s="124"/>
      <c r="C104" s="124"/>
      <c r="D104" s="124"/>
      <c r="E104" s="125"/>
      <c r="F104" s="36"/>
      <c r="G104" s="36"/>
      <c r="H104" s="37"/>
      <c r="I104" s="37"/>
    </row>
    <row r="105" spans="1:9" ht="12.75">
      <c r="A105" s="53" t="s">
        <v>7</v>
      </c>
      <c r="B105" s="53" t="s">
        <v>119</v>
      </c>
      <c r="C105" s="66" t="s">
        <v>120</v>
      </c>
      <c r="D105" s="52">
        <v>110.961</v>
      </c>
      <c r="E105" s="31"/>
      <c r="F105" s="36"/>
      <c r="G105" s="36"/>
      <c r="H105" s="37"/>
      <c r="I105" s="37"/>
    </row>
    <row r="106" spans="1:9" ht="12.75">
      <c r="A106" s="53" t="s">
        <v>31</v>
      </c>
      <c r="B106" s="53" t="s">
        <v>121</v>
      </c>
      <c r="C106" s="66" t="s">
        <v>122</v>
      </c>
      <c r="D106" s="52">
        <f>12+4</f>
        <v>16</v>
      </c>
      <c r="E106" s="31"/>
      <c r="F106" s="36"/>
      <c r="G106" s="36"/>
      <c r="H106" s="37"/>
      <c r="I106" s="37"/>
    </row>
    <row r="107" spans="1:11" ht="12.75">
      <c r="A107" s="53" t="s">
        <v>39</v>
      </c>
      <c r="B107" s="53" t="s">
        <v>123</v>
      </c>
      <c r="C107" s="66" t="s">
        <v>122</v>
      </c>
      <c r="D107" s="52">
        <f>396+160+120+144+153+153+63+40+196+220+60+60+60+80</f>
        <v>1905</v>
      </c>
      <c r="E107" s="31"/>
      <c r="F107" s="36"/>
      <c r="G107" s="36"/>
      <c r="H107" s="37"/>
      <c r="I107" s="37"/>
      <c r="J107"/>
      <c r="K107"/>
    </row>
    <row r="108" spans="1:7" ht="12.75">
      <c r="A108" s="67"/>
      <c r="B108" s="67"/>
      <c r="C108" s="67"/>
      <c r="D108" s="25"/>
      <c r="E108" s="25"/>
      <c r="F108" s="23"/>
      <c r="G108" s="23"/>
    </row>
    <row r="109" spans="1:7" ht="12.75">
      <c r="A109" s="67"/>
      <c r="B109" s="67" t="s">
        <v>124</v>
      </c>
      <c r="C109" s="162" t="s">
        <v>176</v>
      </c>
      <c r="D109" s="163"/>
      <c r="E109" s="163"/>
      <c r="F109" s="23"/>
      <c r="G109" s="23"/>
    </row>
    <row r="110" spans="1:7" ht="12.75">
      <c r="A110" s="67"/>
      <c r="B110" s="67"/>
      <c r="C110" s="67"/>
      <c r="D110" s="25"/>
      <c r="E110" s="25"/>
      <c r="F110" s="23"/>
      <c r="G110" s="23"/>
    </row>
    <row r="111" spans="2:7" ht="12.75">
      <c r="B111" s="95" t="s">
        <v>194</v>
      </c>
      <c r="C111" s="24" t="s">
        <v>200</v>
      </c>
      <c r="D111" s="23"/>
      <c r="E111" s="23"/>
      <c r="F111" s="23"/>
      <c r="G111" s="23"/>
    </row>
  </sheetData>
  <mergeCells count="35">
    <mergeCell ref="E6:I6"/>
    <mergeCell ref="A8:I8"/>
    <mergeCell ref="A9:I9"/>
    <mergeCell ref="A11:I11"/>
    <mergeCell ref="E2:I2"/>
    <mergeCell ref="E3:I3"/>
    <mergeCell ref="E4:I4"/>
    <mergeCell ref="E5:I5"/>
    <mergeCell ref="G13:G14"/>
    <mergeCell ref="H13:H14"/>
    <mergeCell ref="I13:I14"/>
    <mergeCell ref="A13:A14"/>
    <mergeCell ref="B13:B14"/>
    <mergeCell ref="C13:C14"/>
    <mergeCell ref="D13:E13"/>
    <mergeCell ref="A42:D42"/>
    <mergeCell ref="B66:D66"/>
    <mergeCell ref="B68:D68"/>
    <mergeCell ref="F13:F14"/>
    <mergeCell ref="B16:E16"/>
    <mergeCell ref="B26:D26"/>
    <mergeCell ref="B29:D29"/>
    <mergeCell ref="A41:D41"/>
    <mergeCell ref="A76:D76"/>
    <mergeCell ref="A92:D92"/>
    <mergeCell ref="A102:D102"/>
    <mergeCell ref="A104:E104"/>
    <mergeCell ref="A85:D85"/>
    <mergeCell ref="A86:D86"/>
    <mergeCell ref="A91:D91"/>
    <mergeCell ref="C109:E109"/>
    <mergeCell ref="A103:D103"/>
    <mergeCell ref="A93:A95"/>
    <mergeCell ref="A96:A98"/>
    <mergeCell ref="A99:A101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K108"/>
  <sheetViews>
    <sheetView workbookViewId="0" topLeftCell="A22">
      <selection activeCell="B3" sqref="B2:B3"/>
    </sheetView>
  </sheetViews>
  <sheetFormatPr defaultColWidth="9.00390625" defaultRowHeight="12.75"/>
  <cols>
    <col min="1" max="1" width="4.375" style="24" customWidth="1"/>
    <col min="2" max="2" width="59.25390625" style="24" customWidth="1"/>
    <col min="3" max="3" width="24.125" style="24" customWidth="1"/>
    <col min="4" max="8" width="9.125" style="24" customWidth="1"/>
    <col min="9" max="9" width="10.75390625" style="24" customWidth="1"/>
    <col min="10" max="16384" width="9.125" style="24" customWidth="1"/>
  </cols>
  <sheetData>
    <row r="1" spans="1:5" ht="12.75">
      <c r="A1"/>
      <c r="B1"/>
      <c r="C1"/>
      <c r="D1"/>
      <c r="E1"/>
    </row>
    <row r="2" spans="2:9" ht="12.75">
      <c r="B2" s="107" t="s">
        <v>203</v>
      </c>
      <c r="E2" s="173" t="s">
        <v>159</v>
      </c>
      <c r="F2" s="173"/>
      <c r="G2" s="173"/>
      <c r="H2" s="173"/>
      <c r="I2" s="173"/>
    </row>
    <row r="3" spans="2:9" ht="12.75">
      <c r="B3" s="24" t="s">
        <v>204</v>
      </c>
      <c r="E3" s="173" t="s">
        <v>192</v>
      </c>
      <c r="F3" s="173"/>
      <c r="G3" s="173"/>
      <c r="H3" s="173"/>
      <c r="I3" s="173"/>
    </row>
    <row r="4" spans="2:9" ht="12.75">
      <c r="B4" s="24" t="s">
        <v>205</v>
      </c>
      <c r="E4" s="173" t="s">
        <v>160</v>
      </c>
      <c r="F4" s="173"/>
      <c r="G4" s="173"/>
      <c r="H4" s="173"/>
      <c r="I4" s="173"/>
    </row>
    <row r="5" spans="5:9" ht="12.75">
      <c r="E5" s="174" t="s">
        <v>202</v>
      </c>
      <c r="F5" s="173"/>
      <c r="G5" s="173"/>
      <c r="H5" s="173"/>
      <c r="I5" s="173"/>
    </row>
    <row r="7" spans="1:9" ht="12.75">
      <c r="A7" s="158" t="s">
        <v>125</v>
      </c>
      <c r="B7" s="158"/>
      <c r="C7" s="158"/>
      <c r="D7" s="158"/>
      <c r="E7" s="158"/>
      <c r="F7" s="158"/>
      <c r="G7" s="158"/>
      <c r="H7" s="158"/>
      <c r="I7" s="158"/>
    </row>
    <row r="8" spans="1:9" ht="12.75">
      <c r="A8" s="159" t="s">
        <v>164</v>
      </c>
      <c r="B8" s="158"/>
      <c r="C8" s="158"/>
      <c r="D8" s="158"/>
      <c r="E8" s="158"/>
      <c r="F8" s="158"/>
      <c r="G8" s="158"/>
      <c r="H8" s="158"/>
      <c r="I8" s="158"/>
    </row>
    <row r="9" spans="1:9" ht="12.75">
      <c r="A9" s="160" t="s">
        <v>178</v>
      </c>
      <c r="B9" s="160"/>
      <c r="C9" s="160"/>
      <c r="D9" s="160"/>
      <c r="E9" s="160"/>
      <c r="F9" s="160"/>
      <c r="G9" s="160"/>
      <c r="H9" s="160"/>
      <c r="I9" s="160"/>
    </row>
    <row r="10" spans="1:9" ht="12.75">
      <c r="A10" s="170" t="s">
        <v>0</v>
      </c>
      <c r="B10" s="170" t="s">
        <v>1</v>
      </c>
      <c r="C10" s="170" t="s">
        <v>2</v>
      </c>
      <c r="D10" s="171" t="s">
        <v>3</v>
      </c>
      <c r="E10" s="172"/>
      <c r="F10" s="153" t="s">
        <v>139</v>
      </c>
      <c r="G10" s="153" t="s">
        <v>140</v>
      </c>
      <c r="H10" s="155" t="s">
        <v>141</v>
      </c>
      <c r="I10" s="155" t="s">
        <v>142</v>
      </c>
    </row>
    <row r="11" spans="1:9" ht="38.25">
      <c r="A11" s="170"/>
      <c r="B11" s="170"/>
      <c r="C11" s="170"/>
      <c r="D11" s="50" t="s">
        <v>4</v>
      </c>
      <c r="E11" s="30" t="s">
        <v>5</v>
      </c>
      <c r="F11" s="154"/>
      <c r="G11" s="154"/>
      <c r="H11" s="156"/>
      <c r="I11" s="156"/>
    </row>
    <row r="12" spans="1:9" ht="12.75">
      <c r="A12" s="51" t="s">
        <v>6</v>
      </c>
      <c r="B12" s="51"/>
      <c r="C12" s="39"/>
      <c r="D12" s="52"/>
      <c r="E12" s="31"/>
      <c r="F12" s="36"/>
      <c r="G12" s="36"/>
      <c r="H12" s="37"/>
      <c r="I12" s="37"/>
    </row>
    <row r="13" spans="1:9" ht="12.75">
      <c r="A13" s="53" t="s">
        <v>7</v>
      </c>
      <c r="B13" s="164" t="s">
        <v>8</v>
      </c>
      <c r="C13" s="164"/>
      <c r="D13" s="164"/>
      <c r="E13" s="165"/>
      <c r="F13" s="36"/>
      <c r="G13" s="36"/>
      <c r="H13" s="37"/>
      <c r="I13" s="37"/>
    </row>
    <row r="14" spans="1:11" ht="12.75">
      <c r="A14" s="20" t="s">
        <v>9</v>
      </c>
      <c r="B14" s="20" t="s">
        <v>10</v>
      </c>
      <c r="C14" s="22" t="s">
        <v>11</v>
      </c>
      <c r="D14" s="18">
        <v>2.7</v>
      </c>
      <c r="E14" s="32">
        <f>D14*0.7</f>
        <v>1.89</v>
      </c>
      <c r="F14" s="36"/>
      <c r="G14" s="36">
        <f>E14/2</f>
        <v>0.945</v>
      </c>
      <c r="H14" s="37">
        <v>0.95</v>
      </c>
      <c r="I14" s="37"/>
      <c r="J14"/>
      <c r="K14"/>
    </row>
    <row r="15" spans="1:11" ht="12.75">
      <c r="A15" s="20" t="s">
        <v>12</v>
      </c>
      <c r="B15" s="21" t="s">
        <v>13</v>
      </c>
      <c r="C15" s="22" t="s">
        <v>14</v>
      </c>
      <c r="D15" s="18"/>
      <c r="E15" s="32"/>
      <c r="F15" s="36"/>
      <c r="G15" s="36"/>
      <c r="H15" s="37"/>
      <c r="I15" s="37"/>
      <c r="J15"/>
      <c r="K15"/>
    </row>
    <row r="16" spans="1:9" ht="12.75">
      <c r="A16" s="20" t="s">
        <v>15</v>
      </c>
      <c r="B16" s="21" t="s">
        <v>16</v>
      </c>
      <c r="C16" s="22" t="s">
        <v>14</v>
      </c>
      <c r="D16" s="18">
        <v>11.67</v>
      </c>
      <c r="E16" s="32">
        <f>D16*0.4</f>
        <v>4.668</v>
      </c>
      <c r="F16" s="36"/>
      <c r="G16" s="36">
        <f>E16/2</f>
        <v>2.334</v>
      </c>
      <c r="H16" s="36">
        <f>E16-G16</f>
        <v>2.334</v>
      </c>
      <c r="I16" s="37"/>
    </row>
    <row r="17" spans="1:11" ht="25.5">
      <c r="A17" s="20" t="s">
        <v>17</v>
      </c>
      <c r="B17" s="21" t="s">
        <v>18</v>
      </c>
      <c r="C17" s="22" t="s">
        <v>14</v>
      </c>
      <c r="D17" s="18">
        <v>11.67</v>
      </c>
      <c r="E17" s="32">
        <f>D17*0.4</f>
        <v>4.668</v>
      </c>
      <c r="F17" s="36"/>
      <c r="G17" s="36">
        <f>E17/2</f>
        <v>2.334</v>
      </c>
      <c r="H17" s="36">
        <f>E17-G17</f>
        <v>2.334</v>
      </c>
      <c r="I17" s="37"/>
      <c r="J17"/>
      <c r="K17"/>
    </row>
    <row r="18" spans="1:11" ht="25.5">
      <c r="A18" s="20" t="s">
        <v>19</v>
      </c>
      <c r="B18" s="21" t="s">
        <v>20</v>
      </c>
      <c r="C18" s="22" t="s">
        <v>14</v>
      </c>
      <c r="D18" s="18">
        <v>11.67</v>
      </c>
      <c r="E18" s="32">
        <f>D18*0.3</f>
        <v>3.501</v>
      </c>
      <c r="F18" s="36"/>
      <c r="G18" s="36">
        <f>E18/2</f>
        <v>1.7505</v>
      </c>
      <c r="H18" s="36">
        <f>E18-G18</f>
        <v>1.7505</v>
      </c>
      <c r="I18" s="37"/>
      <c r="J18"/>
      <c r="K18"/>
    </row>
    <row r="19" spans="1:11" ht="12.75">
      <c r="A19" s="20" t="s">
        <v>21</v>
      </c>
      <c r="B19" s="21" t="s">
        <v>22</v>
      </c>
      <c r="C19" s="22" t="s">
        <v>14</v>
      </c>
      <c r="D19" s="18">
        <v>11.67</v>
      </c>
      <c r="E19" s="32">
        <f>D19*0.4</f>
        <v>4.668</v>
      </c>
      <c r="F19" s="36"/>
      <c r="G19" s="36">
        <f>E19/2</f>
        <v>2.334</v>
      </c>
      <c r="H19" s="36">
        <f>E19-G19</f>
        <v>2.334</v>
      </c>
      <c r="I19" s="37"/>
      <c r="J19"/>
      <c r="K19"/>
    </row>
    <row r="20" spans="1:11" ht="12.75">
      <c r="A20" s="20" t="s">
        <v>23</v>
      </c>
      <c r="B20" s="20" t="s">
        <v>24</v>
      </c>
      <c r="C20" s="22" t="s">
        <v>25</v>
      </c>
      <c r="D20" s="18"/>
      <c r="E20" s="32"/>
      <c r="F20" s="36"/>
      <c r="G20" s="36"/>
      <c r="H20" s="37"/>
      <c r="I20" s="37"/>
      <c r="J20"/>
      <c r="K20"/>
    </row>
    <row r="21" spans="1:11" ht="25.5">
      <c r="A21" s="20" t="s">
        <v>26</v>
      </c>
      <c r="B21" s="21" t="s">
        <v>27</v>
      </c>
      <c r="C21" s="22" t="s">
        <v>25</v>
      </c>
      <c r="D21" s="18"/>
      <c r="E21" s="32"/>
      <c r="F21" s="36"/>
      <c r="G21" s="36"/>
      <c r="H21" s="37"/>
      <c r="I21" s="37"/>
      <c r="J21"/>
      <c r="K21"/>
    </row>
    <row r="22" spans="1:11" ht="25.5">
      <c r="A22" s="20" t="s">
        <v>28</v>
      </c>
      <c r="B22" s="21" t="s">
        <v>29</v>
      </c>
      <c r="C22" s="22" t="s">
        <v>30</v>
      </c>
      <c r="D22" s="18"/>
      <c r="E22" s="32"/>
      <c r="F22" s="36"/>
      <c r="G22" s="36"/>
      <c r="H22" s="37"/>
      <c r="I22" s="37"/>
      <c r="J22"/>
      <c r="K22"/>
    </row>
    <row r="23" spans="1:11" ht="12.75">
      <c r="A23" s="20" t="s">
        <v>31</v>
      </c>
      <c r="B23" s="137" t="s">
        <v>32</v>
      </c>
      <c r="C23" s="138"/>
      <c r="D23" s="138"/>
      <c r="E23" s="26"/>
      <c r="F23" s="36"/>
      <c r="G23" s="36"/>
      <c r="H23" s="37"/>
      <c r="I23" s="37"/>
      <c r="J23"/>
      <c r="K23"/>
    </row>
    <row r="24" spans="1:11" ht="12.75">
      <c r="A24" s="20" t="s">
        <v>33</v>
      </c>
      <c r="B24" s="21" t="s">
        <v>34</v>
      </c>
      <c r="C24" s="54" t="s">
        <v>35</v>
      </c>
      <c r="D24" s="18"/>
      <c r="E24" s="32"/>
      <c r="F24" s="36"/>
      <c r="G24" s="36"/>
      <c r="H24" s="37"/>
      <c r="I24" s="37"/>
      <c r="J24"/>
      <c r="K24"/>
    </row>
    <row r="25" spans="1:11" ht="12.75">
      <c r="A25" s="20" t="s">
        <v>36</v>
      </c>
      <c r="B25" s="20" t="s">
        <v>37</v>
      </c>
      <c r="C25" s="54" t="s">
        <v>38</v>
      </c>
      <c r="D25" s="18"/>
      <c r="E25" s="32"/>
      <c r="F25" s="36"/>
      <c r="G25" s="36"/>
      <c r="H25" s="37"/>
      <c r="I25" s="37"/>
      <c r="J25"/>
      <c r="K25"/>
    </row>
    <row r="26" spans="1:11" ht="12.75">
      <c r="A26" s="20" t="s">
        <v>39</v>
      </c>
      <c r="B26" s="137" t="s">
        <v>32</v>
      </c>
      <c r="C26" s="138"/>
      <c r="D26" s="138"/>
      <c r="E26" s="26"/>
      <c r="F26" s="36"/>
      <c r="G26" s="36"/>
      <c r="H26" s="37"/>
      <c r="I26" s="37"/>
      <c r="J26"/>
      <c r="K26"/>
    </row>
    <row r="27" spans="1:11" ht="12.75">
      <c r="A27" s="20" t="s">
        <v>40</v>
      </c>
      <c r="B27" s="46" t="s">
        <v>138</v>
      </c>
      <c r="C27" s="54" t="s">
        <v>38</v>
      </c>
      <c r="D27" s="18">
        <v>5</v>
      </c>
      <c r="E27" s="32">
        <f>D27*0.1</f>
        <v>0.5</v>
      </c>
      <c r="F27" s="36">
        <v>0.25</v>
      </c>
      <c r="G27" s="36"/>
      <c r="H27" s="37"/>
      <c r="I27" s="37">
        <v>0.25</v>
      </c>
      <c r="J27"/>
      <c r="K27"/>
    </row>
    <row r="28" spans="1:11" ht="12.75">
      <c r="A28" s="20" t="s">
        <v>41</v>
      </c>
      <c r="B28" s="20" t="s">
        <v>42</v>
      </c>
      <c r="C28" s="54"/>
      <c r="D28" s="18"/>
      <c r="E28" s="32"/>
      <c r="F28" s="36"/>
      <c r="G28" s="36"/>
      <c r="H28" s="37"/>
      <c r="I28" s="37"/>
      <c r="J28"/>
      <c r="K28"/>
    </row>
    <row r="29" spans="1:11" ht="12.75">
      <c r="A29" s="20"/>
      <c r="B29" s="20" t="s">
        <v>43</v>
      </c>
      <c r="C29" s="54" t="s">
        <v>44</v>
      </c>
      <c r="D29" s="18">
        <v>10</v>
      </c>
      <c r="E29" s="32">
        <f>D29*0.05</f>
        <v>0.5</v>
      </c>
      <c r="F29" s="36">
        <v>0.25</v>
      </c>
      <c r="G29" s="36"/>
      <c r="H29" s="37"/>
      <c r="I29" s="37">
        <v>0.25</v>
      </c>
      <c r="J29"/>
      <c r="K29"/>
    </row>
    <row r="30" spans="1:11" ht="12.75">
      <c r="A30" s="20"/>
      <c r="B30" s="20" t="s">
        <v>45</v>
      </c>
      <c r="C30" s="54" t="s">
        <v>46</v>
      </c>
      <c r="D30" s="18"/>
      <c r="E30" s="32"/>
      <c r="F30" s="36"/>
      <c r="G30" s="36"/>
      <c r="H30" s="37"/>
      <c r="I30" s="37"/>
      <c r="J30"/>
      <c r="K30"/>
    </row>
    <row r="31" spans="1:11" ht="12.75">
      <c r="A31" s="20" t="s">
        <v>47</v>
      </c>
      <c r="B31" s="20" t="s">
        <v>48</v>
      </c>
      <c r="C31" s="54"/>
      <c r="D31" s="18"/>
      <c r="E31" s="32"/>
      <c r="F31" s="36"/>
      <c r="G31" s="36"/>
      <c r="H31" s="37"/>
      <c r="I31" s="37"/>
      <c r="J31"/>
      <c r="K31"/>
    </row>
    <row r="32" spans="1:11" ht="12.75">
      <c r="A32" s="20"/>
      <c r="B32" s="20" t="s">
        <v>49</v>
      </c>
      <c r="C32" s="54" t="s">
        <v>50</v>
      </c>
      <c r="D32" s="18"/>
      <c r="E32" s="32"/>
      <c r="F32" s="36"/>
      <c r="G32" s="36"/>
      <c r="H32" s="37"/>
      <c r="I32" s="37"/>
      <c r="J32"/>
      <c r="K32"/>
    </row>
    <row r="33" spans="1:11" ht="12.75">
      <c r="A33" s="20"/>
      <c r="B33" s="20" t="s">
        <v>51</v>
      </c>
      <c r="C33" s="54" t="s">
        <v>50</v>
      </c>
      <c r="D33" s="18"/>
      <c r="E33" s="32"/>
      <c r="F33" s="36"/>
      <c r="G33" s="36"/>
      <c r="H33" s="37"/>
      <c r="I33" s="37"/>
      <c r="J33"/>
      <c r="K33"/>
    </row>
    <row r="34" spans="1:11" ht="12.75">
      <c r="A34" s="20" t="s">
        <v>52</v>
      </c>
      <c r="B34" s="20" t="s">
        <v>53</v>
      </c>
      <c r="C34" s="54" t="s">
        <v>54</v>
      </c>
      <c r="D34" s="18">
        <v>1300</v>
      </c>
      <c r="E34" s="32">
        <f>D34*0.0134</f>
        <v>17.42</v>
      </c>
      <c r="F34" s="36">
        <v>17.42</v>
      </c>
      <c r="G34" s="36"/>
      <c r="H34" s="37"/>
      <c r="I34" s="37"/>
      <c r="J34"/>
      <c r="K34"/>
    </row>
    <row r="35" spans="1:11" ht="12.75">
      <c r="A35" s="20" t="s">
        <v>99</v>
      </c>
      <c r="B35" s="20" t="s">
        <v>129</v>
      </c>
      <c r="C35" s="54" t="s">
        <v>130</v>
      </c>
      <c r="D35" s="18">
        <v>10</v>
      </c>
      <c r="E35" s="32">
        <f>D35*0.7</f>
        <v>7</v>
      </c>
      <c r="F35" s="36">
        <v>7</v>
      </c>
      <c r="G35" s="36"/>
      <c r="H35" s="37"/>
      <c r="I35" s="37"/>
      <c r="J35"/>
      <c r="K35"/>
    </row>
    <row r="36" spans="1:11" ht="12.75">
      <c r="A36" s="20" t="s">
        <v>102</v>
      </c>
      <c r="B36" s="20" t="s">
        <v>131</v>
      </c>
      <c r="C36" s="54" t="s">
        <v>132</v>
      </c>
      <c r="D36" s="18">
        <v>0</v>
      </c>
      <c r="E36" s="32">
        <v>0</v>
      </c>
      <c r="F36" s="36"/>
      <c r="G36" s="36"/>
      <c r="H36" s="37"/>
      <c r="I36" s="37"/>
      <c r="J36"/>
      <c r="K36"/>
    </row>
    <row r="37" spans="1:11" ht="12.75">
      <c r="A37" s="55" t="s">
        <v>103</v>
      </c>
      <c r="B37" s="21" t="s">
        <v>133</v>
      </c>
      <c r="C37" s="22" t="s">
        <v>61</v>
      </c>
      <c r="D37" s="18">
        <v>108</v>
      </c>
      <c r="E37" s="32">
        <f>4.86*4</f>
        <v>19.44</v>
      </c>
      <c r="F37" s="36">
        <f>E37/4</f>
        <v>4.86</v>
      </c>
      <c r="G37" s="36">
        <v>4.86</v>
      </c>
      <c r="H37" s="37">
        <v>4.86</v>
      </c>
      <c r="I37" s="37">
        <v>4.86</v>
      </c>
      <c r="J37"/>
      <c r="K37"/>
    </row>
    <row r="38" spans="1:11" ht="12.75">
      <c r="A38" s="142" t="s">
        <v>145</v>
      </c>
      <c r="B38" s="140"/>
      <c r="C38" s="140"/>
      <c r="D38" s="141"/>
      <c r="E38" s="40">
        <f>SUM(E14:E37)</f>
        <v>64.255</v>
      </c>
      <c r="F38" s="41">
        <f>SUM(F14:F37)</f>
        <v>29.78</v>
      </c>
      <c r="G38" s="41">
        <f>SUM(G14:G37)</f>
        <v>14.557500000000001</v>
      </c>
      <c r="H38" s="42">
        <f>SUM(H14:H37)</f>
        <v>14.5625</v>
      </c>
      <c r="I38" s="42">
        <f>SUM(I14:I37)</f>
        <v>5.36</v>
      </c>
      <c r="J38" s="71">
        <f>F38+G38+H38+I38</f>
        <v>64.26</v>
      </c>
      <c r="K38" s="43"/>
    </row>
    <row r="39" spans="1:9" ht="12.75">
      <c r="A39" s="147" t="s">
        <v>55</v>
      </c>
      <c r="B39" s="148"/>
      <c r="C39" s="148"/>
      <c r="D39" s="149"/>
      <c r="E39" s="39"/>
      <c r="F39" s="36"/>
      <c r="G39" s="36"/>
      <c r="H39" s="37"/>
      <c r="I39" s="37"/>
    </row>
    <row r="40" spans="1:9" ht="12.75">
      <c r="A40" s="53" t="s">
        <v>7</v>
      </c>
      <c r="B40" s="56" t="s">
        <v>8</v>
      </c>
      <c r="C40" s="20"/>
      <c r="D40" s="18"/>
      <c r="E40" s="32"/>
      <c r="F40" s="36"/>
      <c r="G40" s="36"/>
      <c r="H40" s="37"/>
      <c r="I40" s="37"/>
    </row>
    <row r="41" spans="1:9" ht="12.75">
      <c r="A41" s="20" t="s">
        <v>9</v>
      </c>
      <c r="B41" s="20" t="s">
        <v>56</v>
      </c>
      <c r="C41" s="20"/>
      <c r="D41" s="18"/>
      <c r="E41" s="32"/>
      <c r="F41" s="36"/>
      <c r="G41" s="36"/>
      <c r="H41" s="37"/>
      <c r="I41" s="37"/>
    </row>
    <row r="42" spans="1:9" ht="12.75">
      <c r="A42" s="20"/>
      <c r="B42" s="20" t="s">
        <v>57</v>
      </c>
      <c r="C42" s="22" t="s">
        <v>14</v>
      </c>
      <c r="D42" s="18">
        <v>3.8</v>
      </c>
      <c r="E42" s="32">
        <f>D42*1.1</f>
        <v>4.18</v>
      </c>
      <c r="F42" s="36">
        <f>E42/4</f>
        <v>1.045</v>
      </c>
      <c r="G42" s="36">
        <v>1.05</v>
      </c>
      <c r="H42" s="37">
        <v>1.05</v>
      </c>
      <c r="I42" s="36">
        <f>E42-F42-G42-H42</f>
        <v>1.035</v>
      </c>
    </row>
    <row r="43" spans="1:9" ht="25.5">
      <c r="A43" s="20"/>
      <c r="B43" s="20" t="s">
        <v>58</v>
      </c>
      <c r="C43" s="22" t="s">
        <v>59</v>
      </c>
      <c r="D43" s="18">
        <v>1.2</v>
      </c>
      <c r="E43" s="32">
        <f>D43*0.4</f>
        <v>0.48</v>
      </c>
      <c r="F43" s="36">
        <f>E43/4</f>
        <v>0.12</v>
      </c>
      <c r="G43" s="36">
        <v>0.12</v>
      </c>
      <c r="H43" s="37">
        <v>0.12</v>
      </c>
      <c r="I43" s="36">
        <f>E43-F43-G43-H43</f>
        <v>0.12</v>
      </c>
    </row>
    <row r="44" spans="1:9" ht="12.75">
      <c r="A44" s="20" t="s">
        <v>12</v>
      </c>
      <c r="B44" s="21" t="s">
        <v>60</v>
      </c>
      <c r="C44" s="22" t="s">
        <v>61</v>
      </c>
      <c r="D44" s="18">
        <v>130</v>
      </c>
      <c r="E44" s="32">
        <f>0.1*D44</f>
        <v>13</v>
      </c>
      <c r="F44" s="36">
        <f>E44/4</f>
        <v>3.25</v>
      </c>
      <c r="G44" s="36">
        <v>3.25</v>
      </c>
      <c r="H44" s="37">
        <v>3.25</v>
      </c>
      <c r="I44" s="36">
        <f>E44-F44-G44-H44</f>
        <v>3.25</v>
      </c>
    </row>
    <row r="45" spans="1:9" ht="25.5">
      <c r="A45" s="20" t="s">
        <v>15</v>
      </c>
      <c r="B45" s="21" t="s">
        <v>62</v>
      </c>
      <c r="C45" s="22"/>
      <c r="D45" s="18"/>
      <c r="E45" s="32"/>
      <c r="F45" s="36"/>
      <c r="G45" s="36"/>
      <c r="H45" s="37"/>
      <c r="I45" s="37"/>
    </row>
    <row r="46" spans="1:11" ht="12.75">
      <c r="A46" s="20"/>
      <c r="B46" s="20" t="s">
        <v>57</v>
      </c>
      <c r="C46" s="22" t="s">
        <v>14</v>
      </c>
      <c r="D46" s="18">
        <v>3.8</v>
      </c>
      <c r="E46" s="32">
        <f>D46*0.9</f>
        <v>3.42</v>
      </c>
      <c r="F46" s="36">
        <f>E46/4</f>
        <v>0.855</v>
      </c>
      <c r="G46" s="36">
        <v>0.86</v>
      </c>
      <c r="H46" s="37">
        <v>0.86</v>
      </c>
      <c r="I46" s="36">
        <f>E46-F46-G46-H46</f>
        <v>0.8450000000000001</v>
      </c>
      <c r="J46"/>
      <c r="K46"/>
    </row>
    <row r="47" spans="1:9" ht="12.75">
      <c r="A47" s="20"/>
      <c r="B47" s="20" t="s">
        <v>63</v>
      </c>
      <c r="C47" s="22" t="s">
        <v>136</v>
      </c>
      <c r="D47" s="18">
        <v>30</v>
      </c>
      <c r="E47" s="32">
        <f>D47*0.01</f>
        <v>0.3</v>
      </c>
      <c r="F47" s="36">
        <f>E47/4</f>
        <v>0.075</v>
      </c>
      <c r="G47" s="36">
        <v>0.08</v>
      </c>
      <c r="H47" s="37">
        <v>0.08</v>
      </c>
      <c r="I47" s="36">
        <f>E47-F47-G47-H47</f>
        <v>0.06499999999999996</v>
      </c>
    </row>
    <row r="48" spans="1:9" ht="12.75">
      <c r="A48" s="20"/>
      <c r="B48" s="57" t="s">
        <v>158</v>
      </c>
      <c r="C48" s="22" t="s">
        <v>64</v>
      </c>
      <c r="D48" s="18"/>
      <c r="E48" s="32"/>
      <c r="F48" s="36"/>
      <c r="G48" s="36"/>
      <c r="H48" s="37"/>
      <c r="I48" s="37"/>
    </row>
    <row r="49" spans="1:9" ht="12.75">
      <c r="A49" s="20" t="s">
        <v>17</v>
      </c>
      <c r="B49" s="20" t="s">
        <v>65</v>
      </c>
      <c r="C49" s="22" t="s">
        <v>66</v>
      </c>
      <c r="D49" s="18">
        <v>120</v>
      </c>
      <c r="E49" s="32">
        <f>D49*0.025</f>
        <v>3</v>
      </c>
      <c r="F49" s="36">
        <f>E49/4</f>
        <v>0.75</v>
      </c>
      <c r="G49" s="36">
        <v>0.75</v>
      </c>
      <c r="H49" s="37">
        <v>0.75</v>
      </c>
      <c r="I49" s="36">
        <f>E49-F49-G49-H49</f>
        <v>0.75</v>
      </c>
    </row>
    <row r="50" spans="1:9" ht="12.75">
      <c r="A50" s="20" t="s">
        <v>19</v>
      </c>
      <c r="B50" s="20" t="s">
        <v>67</v>
      </c>
      <c r="C50" s="22" t="s">
        <v>68</v>
      </c>
      <c r="D50" s="18">
        <v>50</v>
      </c>
      <c r="E50" s="32">
        <f>D50*0.04</f>
        <v>2</v>
      </c>
      <c r="F50" s="36">
        <f>E50/4</f>
        <v>0.5</v>
      </c>
      <c r="G50" s="36">
        <v>0.5</v>
      </c>
      <c r="H50" s="37">
        <v>0.5</v>
      </c>
      <c r="I50" s="36">
        <f>E50-F50-G50-H50</f>
        <v>0.5</v>
      </c>
    </row>
    <row r="51" spans="1:9" ht="12.75">
      <c r="A51" s="20" t="s">
        <v>21</v>
      </c>
      <c r="B51" s="20" t="s">
        <v>69</v>
      </c>
      <c r="C51" s="22" t="s">
        <v>87</v>
      </c>
      <c r="D51" s="18">
        <v>230</v>
      </c>
      <c r="E51" s="32">
        <f>D51*0.068</f>
        <v>15.64</v>
      </c>
      <c r="F51" s="36">
        <f>E51/4</f>
        <v>3.91</v>
      </c>
      <c r="G51" s="36">
        <v>3.91</v>
      </c>
      <c r="H51" s="37">
        <v>3.91</v>
      </c>
      <c r="I51" s="36">
        <f>E51-F51-G51-H51</f>
        <v>3.91</v>
      </c>
    </row>
    <row r="52" spans="1:9" ht="25.5">
      <c r="A52" s="46" t="s">
        <v>23</v>
      </c>
      <c r="B52" s="21" t="s">
        <v>71</v>
      </c>
      <c r="C52" s="22" t="s">
        <v>72</v>
      </c>
      <c r="D52" s="18">
        <v>35</v>
      </c>
      <c r="E52" s="32">
        <f>D52*0.05</f>
        <v>1.75</v>
      </c>
      <c r="F52" s="36">
        <f>E52/4</f>
        <v>0.4375</v>
      </c>
      <c r="G52" s="36">
        <v>0.44</v>
      </c>
      <c r="H52" s="37">
        <v>0.44</v>
      </c>
      <c r="I52" s="36">
        <f>E52-F52-G52-H52</f>
        <v>0.43250000000000005</v>
      </c>
    </row>
    <row r="53" spans="1:9" ht="12.75">
      <c r="A53" s="20" t="s">
        <v>73</v>
      </c>
      <c r="B53" s="20" t="s">
        <v>74</v>
      </c>
      <c r="C53" s="22" t="s">
        <v>75</v>
      </c>
      <c r="D53" s="18">
        <v>0</v>
      </c>
      <c r="E53" s="32">
        <f>D53*0.1</f>
        <v>0</v>
      </c>
      <c r="F53" s="36"/>
      <c r="G53" s="36"/>
      <c r="H53" s="37"/>
      <c r="I53" s="37"/>
    </row>
    <row r="54" spans="1:9" ht="25.5">
      <c r="A54" s="20" t="s">
        <v>26</v>
      </c>
      <c r="B54" s="21" t="s">
        <v>77</v>
      </c>
      <c r="C54" s="22" t="s">
        <v>68</v>
      </c>
      <c r="D54" s="18">
        <v>40</v>
      </c>
      <c r="E54" s="32">
        <f>D54*0.032</f>
        <v>1.28</v>
      </c>
      <c r="F54" s="36">
        <f>E54/4</f>
        <v>0.32</v>
      </c>
      <c r="G54" s="36">
        <v>0.32</v>
      </c>
      <c r="H54" s="37">
        <v>0.32</v>
      </c>
      <c r="I54" s="36">
        <f>E54-F54-G54-H54</f>
        <v>0.3199999999999999</v>
      </c>
    </row>
    <row r="55" spans="1:9" ht="25.5">
      <c r="A55" s="20" t="s">
        <v>28</v>
      </c>
      <c r="B55" s="21" t="s">
        <v>79</v>
      </c>
      <c r="C55" s="22" t="s">
        <v>80</v>
      </c>
      <c r="D55" s="18"/>
      <c r="E55" s="32"/>
      <c r="F55" s="36"/>
      <c r="G55" s="36"/>
      <c r="H55" s="37"/>
      <c r="I55" s="37"/>
    </row>
    <row r="56" spans="1:9" ht="12.75">
      <c r="A56" s="20" t="s">
        <v>70</v>
      </c>
      <c r="B56" s="21" t="s">
        <v>82</v>
      </c>
      <c r="C56" s="22" t="s">
        <v>83</v>
      </c>
      <c r="D56" s="18">
        <v>75</v>
      </c>
      <c r="E56" s="32">
        <f>D56*0.02</f>
        <v>1.5</v>
      </c>
      <c r="F56" s="36">
        <f>E56/4</f>
        <v>0.375</v>
      </c>
      <c r="G56" s="36">
        <v>0.38</v>
      </c>
      <c r="H56" s="37">
        <v>0.38</v>
      </c>
      <c r="I56" s="36">
        <f>E56-F56-G56-H56</f>
        <v>0.365</v>
      </c>
    </row>
    <row r="57" spans="1:9" ht="12.75">
      <c r="A57" s="20" t="s">
        <v>73</v>
      </c>
      <c r="B57" s="21" t="s">
        <v>154</v>
      </c>
      <c r="C57" s="22" t="s">
        <v>144</v>
      </c>
      <c r="D57" s="18">
        <v>50</v>
      </c>
      <c r="E57" s="32">
        <f>D57*0.128</f>
        <v>6.4</v>
      </c>
      <c r="F57" s="36">
        <f>E57/4</f>
        <v>1.6</v>
      </c>
      <c r="G57" s="36">
        <v>1.6</v>
      </c>
      <c r="H57" s="37">
        <v>1.6</v>
      </c>
      <c r="I57" s="36">
        <f>E57-F57-G57-H57</f>
        <v>1.6000000000000005</v>
      </c>
    </row>
    <row r="58" spans="1:9" ht="12.75">
      <c r="A58" s="20" t="s">
        <v>76</v>
      </c>
      <c r="B58" s="21" t="s">
        <v>155</v>
      </c>
      <c r="C58" s="22" t="s">
        <v>144</v>
      </c>
      <c r="D58" s="18">
        <v>30</v>
      </c>
      <c r="E58" s="32">
        <f>D58*0.152</f>
        <v>4.56</v>
      </c>
      <c r="F58" s="36">
        <f>E58/4</f>
        <v>1.14</v>
      </c>
      <c r="G58" s="36">
        <v>1.14</v>
      </c>
      <c r="H58" s="37">
        <v>1.14</v>
      </c>
      <c r="I58" s="36">
        <v>1.13</v>
      </c>
    </row>
    <row r="59" spans="1:9" ht="12.75">
      <c r="A59" s="46" t="s">
        <v>78</v>
      </c>
      <c r="B59" s="21" t="s">
        <v>84</v>
      </c>
      <c r="C59" s="22" t="s">
        <v>85</v>
      </c>
      <c r="D59" s="18">
        <v>0</v>
      </c>
      <c r="E59" s="32">
        <f>D59*0.1</f>
        <v>0</v>
      </c>
      <c r="F59" s="36"/>
      <c r="G59" s="36"/>
      <c r="H59" s="37"/>
      <c r="I59" s="36"/>
    </row>
    <row r="60" spans="1:9" ht="12.75">
      <c r="A60" s="46" t="s">
        <v>81</v>
      </c>
      <c r="B60" s="21" t="s">
        <v>86</v>
      </c>
      <c r="C60" s="22" t="s">
        <v>87</v>
      </c>
      <c r="D60" s="18">
        <v>0</v>
      </c>
      <c r="E60" s="32">
        <f>D60*0.03</f>
        <v>0</v>
      </c>
      <c r="F60" s="36"/>
      <c r="G60" s="36"/>
      <c r="H60" s="37"/>
      <c r="I60" s="37"/>
    </row>
    <row r="61" spans="1:9" ht="12.75">
      <c r="A61" s="46" t="s">
        <v>156</v>
      </c>
      <c r="B61" s="21" t="s">
        <v>88</v>
      </c>
      <c r="C61" s="22" t="s">
        <v>89</v>
      </c>
      <c r="D61" s="18">
        <v>0</v>
      </c>
      <c r="E61" s="32">
        <f>D61*0.02</f>
        <v>0</v>
      </c>
      <c r="F61" s="36"/>
      <c r="G61" s="36"/>
      <c r="H61" s="37"/>
      <c r="I61" s="37"/>
    </row>
    <row r="62" spans="1:9" ht="12.75">
      <c r="A62" s="46" t="s">
        <v>157</v>
      </c>
      <c r="B62" s="37" t="s">
        <v>143</v>
      </c>
      <c r="C62" s="37" t="s">
        <v>144</v>
      </c>
      <c r="D62" s="37">
        <v>30</v>
      </c>
      <c r="E62" s="37">
        <f>D62*0.15</f>
        <v>4.5</v>
      </c>
      <c r="F62" s="37">
        <f>E62/4</f>
        <v>1.125</v>
      </c>
      <c r="G62" s="37">
        <v>1.25</v>
      </c>
      <c r="H62" s="37">
        <v>1.125</v>
      </c>
      <c r="I62" s="37">
        <v>1.125</v>
      </c>
    </row>
    <row r="63" spans="1:9" ht="12.75">
      <c r="A63" s="20" t="s">
        <v>31</v>
      </c>
      <c r="B63" s="137" t="s">
        <v>32</v>
      </c>
      <c r="C63" s="138"/>
      <c r="D63" s="138"/>
      <c r="E63" s="26"/>
      <c r="F63" s="36"/>
      <c r="G63" s="36"/>
      <c r="H63" s="37"/>
      <c r="I63" s="37"/>
    </row>
    <row r="64" spans="1:9" ht="12.75">
      <c r="A64" s="20" t="s">
        <v>33</v>
      </c>
      <c r="B64" s="21" t="s">
        <v>90</v>
      </c>
      <c r="C64" s="22" t="s">
        <v>91</v>
      </c>
      <c r="D64" s="18">
        <v>24</v>
      </c>
      <c r="E64" s="32">
        <f>D64*0.2</f>
        <v>4.800000000000001</v>
      </c>
      <c r="F64" s="36"/>
      <c r="G64" s="36">
        <v>4.8</v>
      </c>
      <c r="H64" s="37"/>
      <c r="I64" s="37"/>
    </row>
    <row r="65" spans="1:9" ht="12.75">
      <c r="A65" s="20" t="s">
        <v>39</v>
      </c>
      <c r="B65" s="137" t="s">
        <v>32</v>
      </c>
      <c r="C65" s="138"/>
      <c r="D65" s="138"/>
      <c r="E65" s="26"/>
      <c r="F65" s="36"/>
      <c r="G65" s="36"/>
      <c r="H65" s="37"/>
      <c r="I65" s="37"/>
    </row>
    <row r="66" spans="1:9" ht="19.5" customHeight="1">
      <c r="A66" s="20" t="s">
        <v>40</v>
      </c>
      <c r="B66" s="21" t="s">
        <v>92</v>
      </c>
      <c r="C66" s="22" t="s">
        <v>93</v>
      </c>
      <c r="D66" s="18">
        <v>0</v>
      </c>
      <c r="E66" s="32">
        <f>D66*0.3</f>
        <v>0</v>
      </c>
      <c r="F66" s="36"/>
      <c r="G66" s="36"/>
      <c r="H66" s="37"/>
      <c r="I66" s="37"/>
    </row>
    <row r="67" spans="1:9" ht="12.75">
      <c r="A67" s="20" t="s">
        <v>41</v>
      </c>
      <c r="B67" s="21" t="s">
        <v>94</v>
      </c>
      <c r="C67" s="22" t="s">
        <v>95</v>
      </c>
      <c r="D67" s="18"/>
      <c r="E67" s="32"/>
      <c r="F67" s="36"/>
      <c r="G67" s="36"/>
      <c r="H67" s="37"/>
      <c r="I67" s="37"/>
    </row>
    <row r="68" spans="1:9" ht="12.75">
      <c r="A68" s="20" t="s">
        <v>47</v>
      </c>
      <c r="B68" s="21" t="s">
        <v>96</v>
      </c>
      <c r="C68" s="22" t="s">
        <v>97</v>
      </c>
      <c r="D68" s="18">
        <v>355.79</v>
      </c>
      <c r="E68" s="32">
        <f>D68*0.0976</f>
        <v>34.725104</v>
      </c>
      <c r="F68" s="36"/>
      <c r="G68" s="36"/>
      <c r="H68" s="37">
        <v>34.73</v>
      </c>
      <c r="I68" s="37"/>
    </row>
    <row r="69" spans="1:9" ht="12.75">
      <c r="A69" s="20" t="s">
        <v>52</v>
      </c>
      <c r="B69" s="21" t="s">
        <v>98</v>
      </c>
      <c r="C69" s="22" t="s">
        <v>91</v>
      </c>
      <c r="D69" s="18">
        <v>24</v>
      </c>
      <c r="E69" s="32">
        <f>D69*0.874</f>
        <v>20.976</v>
      </c>
      <c r="F69" s="36"/>
      <c r="G69" s="36"/>
      <c r="H69" s="37">
        <v>20.98</v>
      </c>
      <c r="I69" s="37"/>
    </row>
    <row r="70" spans="1:9" ht="12.75">
      <c r="A70" s="20" t="s">
        <v>99</v>
      </c>
      <c r="B70" s="21" t="s">
        <v>100</v>
      </c>
      <c r="C70" s="22" t="s">
        <v>101</v>
      </c>
      <c r="D70" s="18">
        <v>200</v>
      </c>
      <c r="E70" s="32">
        <f>D70*0.1</f>
        <v>20</v>
      </c>
      <c r="F70" s="36">
        <f>E70/3</f>
        <v>6.666666666666667</v>
      </c>
      <c r="G70" s="36"/>
      <c r="H70" s="37">
        <v>6.67</v>
      </c>
      <c r="I70" s="36">
        <f>E70-F70-H70</f>
        <v>6.663333333333332</v>
      </c>
    </row>
    <row r="71" spans="1:9" ht="12.75">
      <c r="A71" s="20" t="s">
        <v>102</v>
      </c>
      <c r="B71" s="21" t="s">
        <v>134</v>
      </c>
      <c r="C71" s="22" t="s">
        <v>130</v>
      </c>
      <c r="D71" s="18">
        <v>8</v>
      </c>
      <c r="E71" s="32">
        <f>D71*0.85</f>
        <v>6.8</v>
      </c>
      <c r="F71" s="36">
        <f>E71/3</f>
        <v>2.2666666666666666</v>
      </c>
      <c r="G71" s="36"/>
      <c r="H71" s="37">
        <v>2.27</v>
      </c>
      <c r="I71" s="36">
        <v>2.27</v>
      </c>
    </row>
    <row r="72" spans="1:9" ht="12.75">
      <c r="A72" s="20" t="s">
        <v>103</v>
      </c>
      <c r="B72" s="57" t="s">
        <v>135</v>
      </c>
      <c r="C72" s="58" t="s">
        <v>130</v>
      </c>
      <c r="D72" s="18">
        <v>0</v>
      </c>
      <c r="E72" s="32">
        <v>0</v>
      </c>
      <c r="F72" s="36"/>
      <c r="G72" s="36"/>
      <c r="H72" s="37"/>
      <c r="I72" s="37"/>
    </row>
    <row r="73" spans="1:11" ht="12.75">
      <c r="A73" s="142" t="s">
        <v>146</v>
      </c>
      <c r="B73" s="140"/>
      <c r="C73" s="140"/>
      <c r="D73" s="141"/>
      <c r="E73" s="40">
        <f>SUM(E42:E72)</f>
        <v>149.311104</v>
      </c>
      <c r="F73" s="41">
        <f>SUM(F41:F72)</f>
        <v>24.43583333333333</v>
      </c>
      <c r="G73" s="41">
        <f>SUM(G41:G72)</f>
        <v>20.45</v>
      </c>
      <c r="H73" s="42">
        <f>SUM(H41:H72)</f>
        <v>80.175</v>
      </c>
      <c r="I73" s="41">
        <f>SUM(I41:I72)</f>
        <v>24.38083333333333</v>
      </c>
      <c r="J73" s="72">
        <f>F73+G73+H73+I73</f>
        <v>149.44166666666666</v>
      </c>
      <c r="K73" s="68"/>
    </row>
    <row r="74" spans="1:9" ht="12.75">
      <c r="A74" s="51" t="s">
        <v>104</v>
      </c>
      <c r="B74" s="39"/>
      <c r="C74" s="39"/>
      <c r="D74" s="39"/>
      <c r="E74" s="33"/>
      <c r="F74" s="36"/>
      <c r="G74" s="36"/>
      <c r="H74" s="37"/>
      <c r="I74" s="37"/>
    </row>
    <row r="75" spans="1:9" ht="12.75">
      <c r="A75" s="53" t="s">
        <v>7</v>
      </c>
      <c r="B75" s="56" t="s">
        <v>105</v>
      </c>
      <c r="C75" s="22"/>
      <c r="D75" s="18"/>
      <c r="E75" s="32"/>
      <c r="F75" s="36"/>
      <c r="G75" s="36"/>
      <c r="H75" s="37"/>
      <c r="I75" s="37"/>
    </row>
    <row r="76" spans="1:9" ht="12.75">
      <c r="A76" s="20" t="s">
        <v>9</v>
      </c>
      <c r="B76" s="20" t="s">
        <v>106</v>
      </c>
      <c r="C76" s="22" t="s">
        <v>107</v>
      </c>
      <c r="D76" s="18">
        <f>1800+9255</f>
        <v>11055</v>
      </c>
      <c r="E76" s="32">
        <v>139.03</v>
      </c>
      <c r="F76" s="36">
        <f>E76/4</f>
        <v>34.7575</v>
      </c>
      <c r="G76" s="36">
        <v>34.76</v>
      </c>
      <c r="H76" s="37">
        <v>34.76</v>
      </c>
      <c r="I76" s="37">
        <v>34.76</v>
      </c>
    </row>
    <row r="77" spans="1:9" ht="12.75">
      <c r="A77" s="20" t="s">
        <v>12</v>
      </c>
      <c r="B77" s="21" t="s">
        <v>108</v>
      </c>
      <c r="C77" s="22" t="s">
        <v>109</v>
      </c>
      <c r="D77" s="18"/>
      <c r="E77" s="32"/>
      <c r="F77" s="36"/>
      <c r="G77" s="36"/>
      <c r="H77" s="37"/>
      <c r="I77" s="37"/>
    </row>
    <row r="78" spans="1:9" ht="12.75">
      <c r="A78" s="20" t="s">
        <v>15</v>
      </c>
      <c r="B78" s="21" t="s">
        <v>110</v>
      </c>
      <c r="C78" s="22" t="s">
        <v>107</v>
      </c>
      <c r="D78" s="18">
        <v>8000</v>
      </c>
      <c r="E78" s="32">
        <v>15</v>
      </c>
      <c r="F78" s="36"/>
      <c r="G78" s="36">
        <f>15/2</f>
        <v>7.5</v>
      </c>
      <c r="H78" s="37">
        <v>7.5</v>
      </c>
      <c r="I78" s="37"/>
    </row>
    <row r="79" spans="1:9" ht="12.75">
      <c r="A79" s="20" t="s">
        <v>31</v>
      </c>
      <c r="B79" s="56" t="s">
        <v>111</v>
      </c>
      <c r="C79" s="22"/>
      <c r="D79" s="18"/>
      <c r="E79" s="32"/>
      <c r="F79" s="36"/>
      <c r="G79" s="36"/>
      <c r="H79" s="37"/>
      <c r="I79" s="37"/>
    </row>
    <row r="80" spans="1:9" ht="25.5">
      <c r="A80" s="20"/>
      <c r="B80" s="21" t="s">
        <v>112</v>
      </c>
      <c r="C80" s="22" t="s">
        <v>113</v>
      </c>
      <c r="D80" s="18"/>
      <c r="E80" s="32"/>
      <c r="F80" s="36"/>
      <c r="G80" s="36"/>
      <c r="H80" s="37"/>
      <c r="I80" s="37"/>
    </row>
    <row r="81" spans="1:9" ht="25.5">
      <c r="A81" s="20"/>
      <c r="B81" s="21" t="s">
        <v>114</v>
      </c>
      <c r="C81" s="22" t="s">
        <v>113</v>
      </c>
      <c r="D81" s="18">
        <v>1076</v>
      </c>
      <c r="E81" s="32">
        <v>56</v>
      </c>
      <c r="F81" s="36">
        <f>E81/4</f>
        <v>14</v>
      </c>
      <c r="G81" s="36">
        <v>14</v>
      </c>
      <c r="H81" s="37">
        <v>14</v>
      </c>
      <c r="I81" s="36">
        <v>14</v>
      </c>
    </row>
    <row r="82" spans="1:11" ht="12.75">
      <c r="A82" s="139" t="s">
        <v>147</v>
      </c>
      <c r="B82" s="140"/>
      <c r="C82" s="140"/>
      <c r="D82" s="141"/>
      <c r="E82" s="40">
        <f>SUM(E76:E81)</f>
        <v>210.03</v>
      </c>
      <c r="F82" s="41">
        <f>SUM(F76:F81)</f>
        <v>48.7575</v>
      </c>
      <c r="G82" s="41">
        <f>SUM(G76:G81)</f>
        <v>56.26</v>
      </c>
      <c r="H82" s="42">
        <f>SUM(H76:H81)</f>
        <v>56.26</v>
      </c>
      <c r="I82" s="41">
        <f>SUM(I76:I81)</f>
        <v>48.76</v>
      </c>
      <c r="J82" s="72">
        <f>F82+G82+H82+I82</f>
        <v>210.0375</v>
      </c>
      <c r="K82" s="68"/>
    </row>
    <row r="83" spans="1:9" ht="12.75">
      <c r="A83" s="136" t="s">
        <v>115</v>
      </c>
      <c r="B83" s="136"/>
      <c r="C83" s="136"/>
      <c r="D83" s="136"/>
      <c r="E83" s="34"/>
      <c r="F83" s="36"/>
      <c r="G83" s="36"/>
      <c r="H83" s="37"/>
      <c r="I83" s="37"/>
    </row>
    <row r="84" spans="1:9" ht="12.75">
      <c r="A84" s="59">
        <v>1</v>
      </c>
      <c r="B84" s="53" t="s">
        <v>126</v>
      </c>
      <c r="C84" s="60" t="s">
        <v>127</v>
      </c>
      <c r="D84" s="52">
        <v>9455.3</v>
      </c>
      <c r="E84" s="35">
        <f>D84*0.59*12/1000</f>
        <v>66.943524</v>
      </c>
      <c r="F84" s="36">
        <f>E84/4</f>
        <v>16.735881</v>
      </c>
      <c r="G84" s="36">
        <v>16.74</v>
      </c>
      <c r="H84" s="37">
        <v>16.74</v>
      </c>
      <c r="I84" s="36">
        <f>E84-F84-G84-H84</f>
        <v>16.727642999999997</v>
      </c>
    </row>
    <row r="85" spans="1:9" ht="12.75">
      <c r="A85" s="59">
        <v>2</v>
      </c>
      <c r="B85" s="53" t="s">
        <v>116</v>
      </c>
      <c r="C85" s="60" t="s">
        <v>117</v>
      </c>
      <c r="D85" s="52">
        <v>1220</v>
      </c>
      <c r="E85" s="31">
        <f>D85*1.4*2/1000</f>
        <v>3.416</v>
      </c>
      <c r="F85" s="36"/>
      <c r="G85" s="36">
        <f>E85/2</f>
        <v>1.708</v>
      </c>
      <c r="H85" s="36">
        <f>E85-G85</f>
        <v>1.708</v>
      </c>
      <c r="I85" s="37"/>
    </row>
    <row r="86" spans="1:9" ht="25.5">
      <c r="A86" s="59">
        <v>3</v>
      </c>
      <c r="B86" s="61" t="s">
        <v>128</v>
      </c>
      <c r="C86" s="60"/>
      <c r="D86" s="52"/>
      <c r="E86" s="35">
        <v>20</v>
      </c>
      <c r="F86" s="36">
        <f>E86/4</f>
        <v>5</v>
      </c>
      <c r="G86" s="36">
        <v>5</v>
      </c>
      <c r="H86" s="37">
        <v>5</v>
      </c>
      <c r="I86" s="36">
        <v>5</v>
      </c>
    </row>
    <row r="87" spans="1:10" ht="12.75">
      <c r="A87" s="59">
        <v>4</v>
      </c>
      <c r="B87" s="63" t="s">
        <v>191</v>
      </c>
      <c r="C87" s="60" t="s">
        <v>127</v>
      </c>
      <c r="D87" s="52">
        <v>9455.3</v>
      </c>
      <c r="E87" s="31">
        <v>90.447</v>
      </c>
      <c r="F87" s="36">
        <f>E87/4</f>
        <v>22.61175</v>
      </c>
      <c r="G87" s="36">
        <v>22.61</v>
      </c>
      <c r="H87" s="37">
        <v>22.61</v>
      </c>
      <c r="I87" s="36">
        <f>E87-F87-G87-H87</f>
        <v>22.615250000000003</v>
      </c>
      <c r="J87" s="23">
        <f>F89+G89+H89+I89</f>
        <v>604.5456906666666</v>
      </c>
    </row>
    <row r="88" spans="1:11" ht="12.75">
      <c r="A88" s="142" t="s">
        <v>149</v>
      </c>
      <c r="B88" s="140"/>
      <c r="C88" s="140"/>
      <c r="D88" s="141"/>
      <c r="E88" s="40">
        <f>SUM(E84:E87)</f>
        <v>180.806524</v>
      </c>
      <c r="F88" s="41">
        <f>SUM(F84:F87)</f>
        <v>44.347631</v>
      </c>
      <c r="G88" s="41">
        <f>SUM(G84:G87)</f>
        <v>46.05799999999999</v>
      </c>
      <c r="H88" s="41">
        <f>SUM(H84:H87)</f>
        <v>46.05799999999999</v>
      </c>
      <c r="I88" s="41">
        <f>SUM(I84:I87)</f>
        <v>44.342893000000004</v>
      </c>
      <c r="J88" s="72">
        <f>F88+G88+H88+I88</f>
        <v>180.806524</v>
      </c>
      <c r="K88" s="68"/>
    </row>
    <row r="89" spans="1:11" ht="12.75">
      <c r="A89" s="139" t="s">
        <v>150</v>
      </c>
      <c r="B89" s="140"/>
      <c r="C89" s="140"/>
      <c r="D89" s="141"/>
      <c r="E89" s="40">
        <f>E38+E73+E82+E88</f>
        <v>604.4026279999999</v>
      </c>
      <c r="F89" s="41">
        <f>F38+F73+F82+F88</f>
        <v>147.32096433333334</v>
      </c>
      <c r="G89" s="41">
        <f>G38+G73+G82+G88</f>
        <v>137.32549999999998</v>
      </c>
      <c r="H89" s="41">
        <f>H38+H73+H82+H88</f>
        <v>197.0555</v>
      </c>
      <c r="I89" s="41">
        <f>I38+I73+I82+I88</f>
        <v>122.84372633333334</v>
      </c>
      <c r="J89" s="24">
        <v>604.399</v>
      </c>
      <c r="K89" s="23">
        <f>J89-E89</f>
        <v>-0.0036279999999351276</v>
      </c>
    </row>
    <row r="90" spans="1:11" ht="25.5">
      <c r="A90" s="150">
        <v>1</v>
      </c>
      <c r="B90" s="63" t="s">
        <v>182</v>
      </c>
      <c r="C90" s="94" t="s">
        <v>107</v>
      </c>
      <c r="D90" s="52">
        <v>9455.3</v>
      </c>
      <c r="E90" s="104">
        <f>(2.32*D90*10/1000)+(4100*5*2/1000)</f>
        <v>260.36296</v>
      </c>
      <c r="F90" s="97">
        <f>E90/4</f>
        <v>65.09074</v>
      </c>
      <c r="G90" s="97">
        <v>65.1</v>
      </c>
      <c r="H90" s="97">
        <v>65.1</v>
      </c>
      <c r="I90" s="97">
        <v>65.1</v>
      </c>
      <c r="K90" s="23"/>
    </row>
    <row r="91" spans="1:11" ht="12.75">
      <c r="A91" s="151"/>
      <c r="B91" s="62" t="s">
        <v>183</v>
      </c>
      <c r="C91" s="66"/>
      <c r="D91" s="52"/>
      <c r="E91" s="104">
        <f>300.9-E90</f>
        <v>40.53703999999999</v>
      </c>
      <c r="F91" s="97">
        <f>E91/4</f>
        <v>10.134259999999998</v>
      </c>
      <c r="G91" s="97">
        <v>10.1</v>
      </c>
      <c r="H91" s="97">
        <v>10.1</v>
      </c>
      <c r="I91" s="97">
        <v>10.1</v>
      </c>
      <c r="K91" s="23"/>
    </row>
    <row r="92" spans="1:11" ht="25.5">
      <c r="A92" s="152"/>
      <c r="B92" s="82" t="s">
        <v>184</v>
      </c>
      <c r="C92" s="81"/>
      <c r="D92" s="41"/>
      <c r="E92" s="99">
        <f>SUM(E90:E91)</f>
        <v>300.9</v>
      </c>
      <c r="F92" s="100">
        <f>SUM(F90:F91)</f>
        <v>75.225</v>
      </c>
      <c r="G92" s="100">
        <f>SUM(G90:G91)</f>
        <v>75.19999999999999</v>
      </c>
      <c r="H92" s="100">
        <f>SUM(H90:H91)</f>
        <v>75.19999999999999</v>
      </c>
      <c r="I92" s="100">
        <f>SUM(I90:I91)</f>
        <v>75.19999999999999</v>
      </c>
      <c r="J92" s="108">
        <f>F92+G92+H92+I92</f>
        <v>300.82499999999993</v>
      </c>
      <c r="K92" s="23"/>
    </row>
    <row r="93" spans="1:11" ht="25.5">
      <c r="A93" s="150">
        <v>2</v>
      </c>
      <c r="B93" s="62" t="s">
        <v>188</v>
      </c>
      <c r="C93" s="66" t="s">
        <v>107</v>
      </c>
      <c r="D93" s="52">
        <v>9455.3</v>
      </c>
      <c r="E93" s="104">
        <f>D93*1.62*12/1000</f>
        <v>183.811032</v>
      </c>
      <c r="F93" s="97">
        <f>E93/4</f>
        <v>45.952758</v>
      </c>
      <c r="G93" s="97">
        <v>46</v>
      </c>
      <c r="H93" s="97">
        <v>46</v>
      </c>
      <c r="I93" s="97">
        <v>46</v>
      </c>
      <c r="K93" s="23"/>
    </row>
    <row r="94" spans="1:11" ht="12.75">
      <c r="A94" s="151"/>
      <c r="B94" s="62" t="s">
        <v>183</v>
      </c>
      <c r="C94" s="66"/>
      <c r="D94" s="52"/>
      <c r="E94" s="104">
        <v>5.7</v>
      </c>
      <c r="F94" s="97">
        <f>E94/4</f>
        <v>1.425</v>
      </c>
      <c r="G94" s="97">
        <v>1.44</v>
      </c>
      <c r="H94" s="97">
        <v>1.44</v>
      </c>
      <c r="I94" s="97">
        <v>1.44</v>
      </c>
      <c r="K94" s="23"/>
    </row>
    <row r="95" spans="1:11" ht="12.75">
      <c r="A95" s="152"/>
      <c r="B95" s="82" t="s">
        <v>189</v>
      </c>
      <c r="C95" s="81"/>
      <c r="D95" s="41"/>
      <c r="E95" s="99">
        <f>SUM(E93:E94)</f>
        <v>189.511032</v>
      </c>
      <c r="F95" s="100">
        <f>SUM(F93:F94)</f>
        <v>47.377758</v>
      </c>
      <c r="G95" s="100">
        <f>SUM(G93:G94)</f>
        <v>47.44</v>
      </c>
      <c r="H95" s="100">
        <f>SUM(H93:H94)</f>
        <v>47.44</v>
      </c>
      <c r="I95" s="100">
        <f>SUM(I93:I94)</f>
        <v>47.44</v>
      </c>
      <c r="J95" s="108">
        <f>F95+G95+H95+I95</f>
        <v>189.697758</v>
      </c>
      <c r="K95" s="23"/>
    </row>
    <row r="96" spans="1:11" ht="25.5">
      <c r="A96" s="150">
        <v>3</v>
      </c>
      <c r="B96" s="62" t="s">
        <v>185</v>
      </c>
      <c r="C96" s="60" t="s">
        <v>107</v>
      </c>
      <c r="D96" s="52">
        <v>9455.3</v>
      </c>
      <c r="E96" s="104">
        <f>D96*0.45*12/1000</f>
        <v>51.058620000000005</v>
      </c>
      <c r="F96" s="97">
        <f>E96/4</f>
        <v>12.764655000000001</v>
      </c>
      <c r="G96" s="97">
        <v>12.8</v>
      </c>
      <c r="H96" s="97">
        <v>12.8</v>
      </c>
      <c r="I96" s="97">
        <v>12.8</v>
      </c>
      <c r="K96" s="23"/>
    </row>
    <row r="97" spans="1:11" ht="12.75">
      <c r="A97" s="151"/>
      <c r="B97" s="63" t="s">
        <v>183</v>
      </c>
      <c r="C97" s="60"/>
      <c r="D97" s="52"/>
      <c r="E97" s="104">
        <v>8.1</v>
      </c>
      <c r="F97" s="97">
        <f>E97/4</f>
        <v>2.025</v>
      </c>
      <c r="G97" s="97">
        <v>2</v>
      </c>
      <c r="H97" s="97">
        <v>2</v>
      </c>
      <c r="I97" s="97">
        <v>2</v>
      </c>
      <c r="K97" s="23"/>
    </row>
    <row r="98" spans="1:11" ht="25.5">
      <c r="A98" s="152"/>
      <c r="B98" s="83" t="s">
        <v>186</v>
      </c>
      <c r="C98" s="84"/>
      <c r="D98" s="41"/>
      <c r="E98" s="99">
        <f>SUM(E96:E97)</f>
        <v>59.158620000000006</v>
      </c>
      <c r="F98" s="99">
        <f>SUM(F96:F97)</f>
        <v>14.789655000000002</v>
      </c>
      <c r="G98" s="99">
        <f>SUM(G96:G97)</f>
        <v>14.8</v>
      </c>
      <c r="H98" s="99">
        <f>SUM(H96:H97)</f>
        <v>14.8</v>
      </c>
      <c r="I98" s="100">
        <f>SUM(I96:I97)</f>
        <v>14.8</v>
      </c>
      <c r="J98" s="108">
        <f>F98+G98+H98+I98</f>
        <v>59.189655</v>
      </c>
      <c r="K98" s="23"/>
    </row>
    <row r="99" spans="1:11" ht="12.75">
      <c r="A99" s="126" t="s">
        <v>152</v>
      </c>
      <c r="B99" s="119"/>
      <c r="C99" s="119"/>
      <c r="D99" s="119"/>
      <c r="E99" s="105">
        <f>E92+E95+E98</f>
        <v>549.569652</v>
      </c>
      <c r="F99" s="105">
        <f>F92+F95+F98</f>
        <v>137.392413</v>
      </c>
      <c r="G99" s="105">
        <f>G92+G95+G98</f>
        <v>137.44</v>
      </c>
      <c r="H99" s="105">
        <f>H92+H95+H98</f>
        <v>137.44</v>
      </c>
      <c r="I99" s="105">
        <f>I92+I95+I98</f>
        <v>137.44</v>
      </c>
      <c r="J99" s="108">
        <f>F99+G99+H99+I99</f>
        <v>549.712413</v>
      </c>
      <c r="K99" s="23"/>
    </row>
    <row r="100" spans="1:10" ht="15.75">
      <c r="A100" s="145" t="s">
        <v>153</v>
      </c>
      <c r="B100" s="146"/>
      <c r="C100" s="146"/>
      <c r="D100" s="146"/>
      <c r="E100" s="65">
        <f>E89+E99</f>
        <v>1153.97228</v>
      </c>
      <c r="F100" s="65">
        <f>F89+F99</f>
        <v>284.71337733333337</v>
      </c>
      <c r="G100" s="65">
        <f>G89+G99</f>
        <v>274.7655</v>
      </c>
      <c r="H100" s="65">
        <f>H89+H99</f>
        <v>334.4955</v>
      </c>
      <c r="I100" s="65">
        <f>I89+I99</f>
        <v>260.28372633333333</v>
      </c>
      <c r="J100" s="23">
        <f>F100+G100+H100+I100</f>
        <v>1154.2581036666666</v>
      </c>
    </row>
    <row r="101" spans="1:9" ht="12.75">
      <c r="A101" s="124" t="s">
        <v>118</v>
      </c>
      <c r="B101" s="124"/>
      <c r="C101" s="124"/>
      <c r="D101" s="124"/>
      <c r="E101" s="125"/>
      <c r="F101" s="36"/>
      <c r="G101" s="36"/>
      <c r="H101" s="37"/>
      <c r="I101" s="37"/>
    </row>
    <row r="102" spans="1:9" ht="12.75">
      <c r="A102" s="53" t="s">
        <v>7</v>
      </c>
      <c r="B102" s="53" t="s">
        <v>119</v>
      </c>
      <c r="C102" s="66" t="s">
        <v>120</v>
      </c>
      <c r="D102" s="52">
        <v>110.691</v>
      </c>
      <c r="E102" s="31"/>
      <c r="F102" s="36"/>
      <c r="G102" s="36"/>
      <c r="H102" s="37"/>
      <c r="I102" s="37"/>
    </row>
    <row r="103" spans="1:9" ht="12.75">
      <c r="A103" s="53" t="s">
        <v>31</v>
      </c>
      <c r="B103" s="53" t="s">
        <v>121</v>
      </c>
      <c r="C103" s="66" t="s">
        <v>122</v>
      </c>
      <c r="D103" s="52">
        <f>12+4</f>
        <v>16</v>
      </c>
      <c r="E103" s="31"/>
      <c r="F103" s="36"/>
      <c r="G103" s="36"/>
      <c r="H103" s="37"/>
      <c r="I103" s="37"/>
    </row>
    <row r="104" spans="1:11" ht="12.75">
      <c r="A104" s="53" t="s">
        <v>39</v>
      </c>
      <c r="B104" s="53" t="s">
        <v>123</v>
      </c>
      <c r="C104" s="66" t="s">
        <v>122</v>
      </c>
      <c r="D104" s="52">
        <f>396+160+120+144+153+153+63+40+196+220+60+60+60+80</f>
        <v>1905</v>
      </c>
      <c r="E104" s="31"/>
      <c r="F104" s="36"/>
      <c r="G104" s="36"/>
      <c r="H104" s="37"/>
      <c r="I104" s="37"/>
      <c r="J104"/>
      <c r="K104"/>
    </row>
    <row r="105" spans="1:7" ht="12.75">
      <c r="A105" s="67"/>
      <c r="B105" s="67"/>
      <c r="C105" s="67"/>
      <c r="D105" s="25"/>
      <c r="E105" s="25"/>
      <c r="F105" s="23"/>
      <c r="G105" s="23"/>
    </row>
    <row r="106" spans="1:7" ht="12.75">
      <c r="A106" s="67"/>
      <c r="B106" s="67" t="s">
        <v>124</v>
      </c>
      <c r="C106" s="162" t="s">
        <v>176</v>
      </c>
      <c r="D106" s="163"/>
      <c r="E106" s="163"/>
      <c r="F106" s="23"/>
      <c r="G106" s="23"/>
    </row>
    <row r="107" spans="1:7" ht="12.75">
      <c r="A107" s="67"/>
      <c r="B107" s="67"/>
      <c r="C107" s="67"/>
      <c r="D107" s="25"/>
      <c r="E107" s="25"/>
      <c r="F107" s="23"/>
      <c r="G107" s="23"/>
    </row>
    <row r="108" spans="2:7" ht="12.75">
      <c r="B108" s="95" t="s">
        <v>194</v>
      </c>
      <c r="C108" s="24" t="s">
        <v>201</v>
      </c>
      <c r="D108" s="23"/>
      <c r="E108" s="23"/>
      <c r="F108" s="23"/>
      <c r="G108" s="23"/>
    </row>
  </sheetData>
  <mergeCells count="34">
    <mergeCell ref="A7:I7"/>
    <mergeCell ref="A8:I8"/>
    <mergeCell ref="A9:I9"/>
    <mergeCell ref="E2:I2"/>
    <mergeCell ref="E3:I3"/>
    <mergeCell ref="E4:I4"/>
    <mergeCell ref="E5:I5"/>
    <mergeCell ref="G10:G11"/>
    <mergeCell ref="H10:H11"/>
    <mergeCell ref="I10:I11"/>
    <mergeCell ref="A10:A11"/>
    <mergeCell ref="B10:B11"/>
    <mergeCell ref="C10:C11"/>
    <mergeCell ref="D10:E10"/>
    <mergeCell ref="A39:D39"/>
    <mergeCell ref="B63:D63"/>
    <mergeCell ref="B65:D65"/>
    <mergeCell ref="F10:F11"/>
    <mergeCell ref="B13:E13"/>
    <mergeCell ref="B23:D23"/>
    <mergeCell ref="B26:D26"/>
    <mergeCell ref="A38:D38"/>
    <mergeCell ref="A73:D73"/>
    <mergeCell ref="A89:D89"/>
    <mergeCell ref="A99:D99"/>
    <mergeCell ref="A101:E101"/>
    <mergeCell ref="A82:D82"/>
    <mergeCell ref="A83:D83"/>
    <mergeCell ref="A88:D88"/>
    <mergeCell ref="C106:E106"/>
    <mergeCell ref="A100:D100"/>
    <mergeCell ref="A90:A92"/>
    <mergeCell ref="A93:A95"/>
    <mergeCell ref="A96:A98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</sheetPr>
  <dimension ref="A1:K110"/>
  <sheetViews>
    <sheetView tabSelected="1" workbookViewId="0" topLeftCell="A1">
      <selection activeCell="L8" sqref="L8"/>
    </sheetView>
  </sheetViews>
  <sheetFormatPr defaultColWidth="9.00390625" defaultRowHeight="12.75"/>
  <cols>
    <col min="1" max="1" width="6.00390625" style="24" customWidth="1"/>
    <col min="2" max="2" width="65.00390625" style="24" customWidth="1"/>
    <col min="3" max="3" width="25.25390625" style="24" customWidth="1"/>
    <col min="4" max="5" width="9.125" style="24" customWidth="1"/>
    <col min="6" max="6" width="8.00390625" style="24" customWidth="1"/>
    <col min="7" max="7" width="7.25390625" style="24" customWidth="1"/>
    <col min="8" max="8" width="7.625" style="24" customWidth="1"/>
    <col min="9" max="16384" width="9.125" style="24" customWidth="1"/>
  </cols>
  <sheetData>
    <row r="1" spans="1:5" ht="12.75">
      <c r="A1"/>
      <c r="B1"/>
      <c r="C1"/>
      <c r="D1"/>
      <c r="E1"/>
    </row>
    <row r="2" spans="2:9" ht="12.75">
      <c r="B2" s="107" t="s">
        <v>207</v>
      </c>
      <c r="E2" s="173" t="s">
        <v>159</v>
      </c>
      <c r="F2" s="173"/>
      <c r="G2" s="173"/>
      <c r="H2" s="173"/>
      <c r="I2" s="173"/>
    </row>
    <row r="3" spans="2:9" ht="12.75">
      <c r="B3" s="24" t="s">
        <v>204</v>
      </c>
      <c r="E3" s="173" t="s">
        <v>192</v>
      </c>
      <c r="F3" s="173"/>
      <c r="G3" s="173"/>
      <c r="H3" s="173"/>
      <c r="I3" s="173"/>
    </row>
    <row r="4" spans="2:9" ht="12.75">
      <c r="B4" s="24" t="s">
        <v>208</v>
      </c>
      <c r="E4" s="173" t="s">
        <v>160</v>
      </c>
      <c r="F4" s="173"/>
      <c r="G4" s="173"/>
      <c r="H4" s="173"/>
      <c r="I4" s="173"/>
    </row>
    <row r="5" spans="5:9" ht="12.75">
      <c r="E5" s="174" t="s">
        <v>202</v>
      </c>
      <c r="F5" s="173"/>
      <c r="G5" s="173"/>
      <c r="H5" s="173"/>
      <c r="I5" s="173"/>
    </row>
    <row r="7" spans="1:9" ht="12.75">
      <c r="A7" s="192" t="s">
        <v>125</v>
      </c>
      <c r="B7" s="192"/>
      <c r="C7" s="192"/>
      <c r="D7" s="192"/>
      <c r="E7" s="192"/>
      <c r="F7" s="192"/>
      <c r="G7" s="192"/>
      <c r="H7" s="192"/>
      <c r="I7" s="192"/>
    </row>
    <row r="8" spans="1:9" ht="12.75">
      <c r="A8" s="193" t="s">
        <v>165</v>
      </c>
      <c r="B8" s="192"/>
      <c r="C8" s="192"/>
      <c r="D8" s="192"/>
      <c r="E8" s="192"/>
      <c r="F8" s="192"/>
      <c r="G8" s="192"/>
      <c r="H8" s="192"/>
      <c r="I8" s="192"/>
    </row>
    <row r="9" spans="1:9" ht="12.75">
      <c r="A9" s="70"/>
      <c r="B9" s="2"/>
      <c r="C9" s="2"/>
      <c r="D9" s="2"/>
      <c r="E9" s="2"/>
      <c r="F9" s="75"/>
      <c r="G9" s="2"/>
      <c r="H9" s="2"/>
      <c r="I9" s="2"/>
    </row>
    <row r="10" spans="1:9" ht="12.75">
      <c r="A10" s="160" t="s">
        <v>178</v>
      </c>
      <c r="B10" s="160"/>
      <c r="C10" s="160"/>
      <c r="D10" s="160"/>
      <c r="E10" s="160"/>
      <c r="F10" s="160"/>
      <c r="G10" s="160"/>
      <c r="H10" s="160"/>
      <c r="I10" s="160"/>
    </row>
    <row r="12" spans="1:9" ht="12.75">
      <c r="A12" s="170" t="s">
        <v>0</v>
      </c>
      <c r="B12" s="170" t="s">
        <v>1</v>
      </c>
      <c r="C12" s="170" t="s">
        <v>2</v>
      </c>
      <c r="D12" s="171" t="s">
        <v>3</v>
      </c>
      <c r="E12" s="172"/>
      <c r="F12" s="166" t="s">
        <v>139</v>
      </c>
      <c r="G12" s="166" t="s">
        <v>140</v>
      </c>
      <c r="H12" s="168" t="s">
        <v>141</v>
      </c>
      <c r="I12" s="168" t="s">
        <v>142</v>
      </c>
    </row>
    <row r="13" spans="1:9" ht="38.25">
      <c r="A13" s="170"/>
      <c r="B13" s="170"/>
      <c r="C13" s="170"/>
      <c r="D13" s="50" t="s">
        <v>4</v>
      </c>
      <c r="E13" s="30" t="s">
        <v>5</v>
      </c>
      <c r="F13" s="167"/>
      <c r="G13" s="167"/>
      <c r="H13" s="169"/>
      <c r="I13" s="169"/>
    </row>
    <row r="14" spans="1:9" ht="12.75">
      <c r="A14" s="51" t="s">
        <v>6</v>
      </c>
      <c r="B14" s="51"/>
      <c r="C14" s="39"/>
      <c r="D14" s="52"/>
      <c r="E14" s="31"/>
      <c r="F14" s="36"/>
      <c r="G14" s="36"/>
      <c r="H14" s="37"/>
      <c r="I14" s="37"/>
    </row>
    <row r="15" spans="1:9" ht="12.75">
      <c r="A15" s="53" t="s">
        <v>7</v>
      </c>
      <c r="B15" s="164" t="s">
        <v>8</v>
      </c>
      <c r="C15" s="164"/>
      <c r="D15" s="164"/>
      <c r="E15" s="165"/>
      <c r="F15" s="36"/>
      <c r="G15" s="36"/>
      <c r="H15" s="37"/>
      <c r="I15" s="37"/>
    </row>
    <row r="16" spans="1:11" ht="12.75">
      <c r="A16" s="20" t="s">
        <v>9</v>
      </c>
      <c r="B16" s="20" t="s">
        <v>10</v>
      </c>
      <c r="C16" s="22" t="s">
        <v>11</v>
      </c>
      <c r="D16" s="18">
        <v>3</v>
      </c>
      <c r="E16" s="32">
        <f>D16*0.7</f>
        <v>2.0999999999999996</v>
      </c>
      <c r="F16" s="36"/>
      <c r="G16" s="36">
        <f>E16/2</f>
        <v>1.0499999999999998</v>
      </c>
      <c r="H16" s="36">
        <f>E16-G16</f>
        <v>1.0499999999999998</v>
      </c>
      <c r="I16" s="37"/>
      <c r="J16"/>
      <c r="K16"/>
    </row>
    <row r="17" spans="1:11" ht="12.75">
      <c r="A17" s="20" t="s">
        <v>12</v>
      </c>
      <c r="B17" s="21" t="s">
        <v>13</v>
      </c>
      <c r="C17" s="22" t="s">
        <v>14</v>
      </c>
      <c r="D17" s="18"/>
      <c r="E17" s="32"/>
      <c r="F17" s="36"/>
      <c r="G17" s="36"/>
      <c r="H17" s="36"/>
      <c r="I17" s="37"/>
      <c r="J17"/>
      <c r="K17"/>
    </row>
    <row r="18" spans="1:9" ht="12.75">
      <c r="A18" s="20" t="s">
        <v>15</v>
      </c>
      <c r="B18" s="21" t="s">
        <v>16</v>
      </c>
      <c r="C18" s="22" t="s">
        <v>14</v>
      </c>
      <c r="D18" s="18">
        <f>7.6*2</f>
        <v>15.2</v>
      </c>
      <c r="E18" s="32">
        <f>D18*0.4</f>
        <v>6.08</v>
      </c>
      <c r="F18" s="36"/>
      <c r="G18" s="36">
        <f>E18/2</f>
        <v>3.04</v>
      </c>
      <c r="H18" s="36">
        <f>E18-G18</f>
        <v>3.04</v>
      </c>
      <c r="I18" s="37"/>
    </row>
    <row r="19" spans="1:11" ht="13.5" customHeight="1">
      <c r="A19" s="20" t="s">
        <v>17</v>
      </c>
      <c r="B19" s="21" t="s">
        <v>18</v>
      </c>
      <c r="C19" s="22" t="s">
        <v>14</v>
      </c>
      <c r="D19" s="18">
        <v>15.2</v>
      </c>
      <c r="E19" s="32">
        <f>D19*0.4</f>
        <v>6.08</v>
      </c>
      <c r="F19" s="36"/>
      <c r="G19" s="36">
        <f>E19/2</f>
        <v>3.04</v>
      </c>
      <c r="H19" s="36">
        <f>E19-G19</f>
        <v>3.04</v>
      </c>
      <c r="I19" s="37"/>
      <c r="J19"/>
      <c r="K19"/>
    </row>
    <row r="20" spans="1:11" ht="12.75">
      <c r="A20" s="20" t="s">
        <v>19</v>
      </c>
      <c r="B20" s="21" t="s">
        <v>20</v>
      </c>
      <c r="C20" s="22" t="s">
        <v>14</v>
      </c>
      <c r="D20" s="18">
        <v>15.2</v>
      </c>
      <c r="E20" s="32">
        <f>D20*0.3</f>
        <v>4.56</v>
      </c>
      <c r="F20" s="36"/>
      <c r="G20" s="36">
        <f>E20/2</f>
        <v>2.28</v>
      </c>
      <c r="H20" s="36">
        <f>E20-G20</f>
        <v>2.28</v>
      </c>
      <c r="I20" s="37"/>
      <c r="J20"/>
      <c r="K20"/>
    </row>
    <row r="21" spans="1:11" ht="12.75">
      <c r="A21" s="20" t="s">
        <v>21</v>
      </c>
      <c r="B21" s="21" t="s">
        <v>22</v>
      </c>
      <c r="C21" s="22" t="s">
        <v>14</v>
      </c>
      <c r="D21" s="18">
        <v>15.2</v>
      </c>
      <c r="E21" s="32">
        <f>D21*0.4</f>
        <v>6.08</v>
      </c>
      <c r="F21" s="36"/>
      <c r="G21" s="36">
        <f>E21/2</f>
        <v>3.04</v>
      </c>
      <c r="H21" s="36">
        <f>E21-G21</f>
        <v>3.04</v>
      </c>
      <c r="I21" s="37"/>
      <c r="J21"/>
      <c r="K21"/>
    </row>
    <row r="22" spans="1:11" ht="12.75">
      <c r="A22" s="20" t="s">
        <v>23</v>
      </c>
      <c r="B22" s="20" t="s">
        <v>24</v>
      </c>
      <c r="C22" s="22" t="s">
        <v>25</v>
      </c>
      <c r="D22" s="18"/>
      <c r="E22" s="32"/>
      <c r="F22" s="36"/>
      <c r="G22" s="36"/>
      <c r="H22" s="37"/>
      <c r="I22" s="37"/>
      <c r="J22"/>
      <c r="K22"/>
    </row>
    <row r="23" spans="1:11" ht="25.5">
      <c r="A23" s="20" t="s">
        <v>26</v>
      </c>
      <c r="B23" s="21" t="s">
        <v>27</v>
      </c>
      <c r="C23" s="22" t="s">
        <v>25</v>
      </c>
      <c r="D23" s="18"/>
      <c r="E23" s="32"/>
      <c r="F23" s="36"/>
      <c r="G23" s="36"/>
      <c r="H23" s="37"/>
      <c r="I23" s="37"/>
      <c r="J23"/>
      <c r="K23"/>
    </row>
    <row r="24" spans="1:11" ht="15.75" customHeight="1">
      <c r="A24" s="20" t="s">
        <v>28</v>
      </c>
      <c r="B24" s="21" t="s">
        <v>29</v>
      </c>
      <c r="C24" s="22" t="s">
        <v>30</v>
      </c>
      <c r="D24" s="18"/>
      <c r="E24" s="32"/>
      <c r="F24" s="36"/>
      <c r="G24" s="36"/>
      <c r="H24" s="37"/>
      <c r="I24" s="37"/>
      <c r="J24"/>
      <c r="K24"/>
    </row>
    <row r="25" spans="1:11" ht="12.75">
      <c r="A25" s="20" t="s">
        <v>31</v>
      </c>
      <c r="B25" s="137" t="s">
        <v>32</v>
      </c>
      <c r="C25" s="138"/>
      <c r="D25" s="138"/>
      <c r="E25" s="26"/>
      <c r="F25" s="36"/>
      <c r="G25" s="36"/>
      <c r="H25" s="37"/>
      <c r="I25" s="37"/>
      <c r="J25"/>
      <c r="K25"/>
    </row>
    <row r="26" spans="1:11" ht="12.75">
      <c r="A26" s="20" t="s">
        <v>33</v>
      </c>
      <c r="B26" s="21" t="s">
        <v>34</v>
      </c>
      <c r="C26" s="54" t="s">
        <v>35</v>
      </c>
      <c r="D26" s="18"/>
      <c r="E26" s="32"/>
      <c r="F26" s="36"/>
      <c r="G26" s="36"/>
      <c r="H26" s="37"/>
      <c r="I26" s="37"/>
      <c r="J26"/>
      <c r="K26"/>
    </row>
    <row r="27" spans="1:11" ht="12.75">
      <c r="A27" s="20" t="s">
        <v>36</v>
      </c>
      <c r="B27" s="20" t="s">
        <v>37</v>
      </c>
      <c r="C27" s="54" t="s">
        <v>38</v>
      </c>
      <c r="D27" s="18"/>
      <c r="E27" s="32"/>
      <c r="F27" s="36"/>
      <c r="G27" s="36"/>
      <c r="H27" s="37"/>
      <c r="I27" s="37"/>
      <c r="J27"/>
      <c r="K27"/>
    </row>
    <row r="28" spans="1:11" ht="12.75">
      <c r="A28" s="20" t="s">
        <v>39</v>
      </c>
      <c r="B28" s="137" t="s">
        <v>32</v>
      </c>
      <c r="C28" s="138"/>
      <c r="D28" s="138"/>
      <c r="E28" s="26"/>
      <c r="F28" s="36"/>
      <c r="G28" s="36"/>
      <c r="H28" s="37"/>
      <c r="I28" s="37"/>
      <c r="J28"/>
      <c r="K28"/>
    </row>
    <row r="29" spans="1:11" ht="12.75">
      <c r="A29" s="20" t="s">
        <v>40</v>
      </c>
      <c r="B29" s="46" t="s">
        <v>138</v>
      </c>
      <c r="C29" s="54" t="s">
        <v>38</v>
      </c>
      <c r="D29" s="18">
        <v>6</v>
      </c>
      <c r="E29" s="32">
        <f>D29*0.1</f>
        <v>0.6000000000000001</v>
      </c>
      <c r="F29" s="36">
        <f>E29/3</f>
        <v>0.20000000000000004</v>
      </c>
      <c r="G29" s="36"/>
      <c r="H29" s="37">
        <v>0.2</v>
      </c>
      <c r="I29" s="37">
        <v>0.2</v>
      </c>
      <c r="J29"/>
      <c r="K29"/>
    </row>
    <row r="30" spans="1:11" ht="12.75">
      <c r="A30" s="20" t="s">
        <v>41</v>
      </c>
      <c r="B30" s="20" t="s">
        <v>42</v>
      </c>
      <c r="C30" s="54"/>
      <c r="D30" s="18"/>
      <c r="E30" s="32"/>
      <c r="F30" s="36"/>
      <c r="G30" s="36"/>
      <c r="H30" s="37"/>
      <c r="I30" s="37"/>
      <c r="J30"/>
      <c r="K30"/>
    </row>
    <row r="31" spans="1:11" ht="12.75">
      <c r="A31" s="20"/>
      <c r="B31" s="20" t="s">
        <v>43</v>
      </c>
      <c r="C31" s="54" t="s">
        <v>44</v>
      </c>
      <c r="D31" s="18">
        <v>12</v>
      </c>
      <c r="E31" s="32">
        <f>D31*0.05</f>
        <v>0.6000000000000001</v>
      </c>
      <c r="F31" s="36">
        <v>0.2</v>
      </c>
      <c r="G31" s="36"/>
      <c r="H31" s="37">
        <v>0.2</v>
      </c>
      <c r="I31" s="37">
        <v>0.2</v>
      </c>
      <c r="J31"/>
      <c r="K31"/>
    </row>
    <row r="32" spans="1:11" ht="12.75">
      <c r="A32" s="20"/>
      <c r="B32" s="20" t="s">
        <v>45</v>
      </c>
      <c r="C32" s="54" t="s">
        <v>46</v>
      </c>
      <c r="D32" s="18"/>
      <c r="E32" s="32"/>
      <c r="F32" s="36"/>
      <c r="G32" s="36"/>
      <c r="H32" s="37"/>
      <c r="I32" s="37"/>
      <c r="J32"/>
      <c r="K32"/>
    </row>
    <row r="33" spans="1:11" ht="12.75">
      <c r="A33" s="20" t="s">
        <v>47</v>
      </c>
      <c r="B33" s="20" t="s">
        <v>48</v>
      </c>
      <c r="C33" s="54"/>
      <c r="D33" s="18"/>
      <c r="E33" s="32"/>
      <c r="F33" s="36"/>
      <c r="G33" s="36"/>
      <c r="H33" s="37"/>
      <c r="I33" s="37"/>
      <c r="J33"/>
      <c r="K33"/>
    </row>
    <row r="34" spans="1:11" ht="12.75">
      <c r="A34" s="20"/>
      <c r="B34" s="20" t="s">
        <v>49</v>
      </c>
      <c r="C34" s="54" t="s">
        <v>50</v>
      </c>
      <c r="D34" s="18"/>
      <c r="E34" s="32"/>
      <c r="F34" s="36"/>
      <c r="G34" s="36"/>
      <c r="H34" s="37"/>
      <c r="I34" s="37"/>
      <c r="J34"/>
      <c r="K34"/>
    </row>
    <row r="35" spans="1:11" ht="12.75">
      <c r="A35" s="20"/>
      <c r="B35" s="20" t="s">
        <v>51</v>
      </c>
      <c r="C35" s="54" t="s">
        <v>50</v>
      </c>
      <c r="D35" s="18"/>
      <c r="E35" s="32"/>
      <c r="F35" s="36"/>
      <c r="G35" s="36"/>
      <c r="H35" s="37"/>
      <c r="I35" s="37"/>
      <c r="J35"/>
      <c r="K35"/>
    </row>
    <row r="36" spans="1:11" ht="12.75">
      <c r="A36" s="20" t="s">
        <v>52</v>
      </c>
      <c r="B36" s="20" t="s">
        <v>53</v>
      </c>
      <c r="C36" s="54" t="s">
        <v>54</v>
      </c>
      <c r="D36" s="18">
        <v>1500</v>
      </c>
      <c r="E36" s="32">
        <f>D36*0.0134</f>
        <v>20.1</v>
      </c>
      <c r="F36" s="36">
        <v>20.1</v>
      </c>
      <c r="G36" s="36"/>
      <c r="H36" s="37"/>
      <c r="I36" s="37"/>
      <c r="J36"/>
      <c r="K36"/>
    </row>
    <row r="37" spans="1:11" ht="12.75">
      <c r="A37" s="20" t="s">
        <v>99</v>
      </c>
      <c r="B37" s="20" t="s">
        <v>129</v>
      </c>
      <c r="C37" s="54" t="s">
        <v>130</v>
      </c>
      <c r="D37" s="18">
        <v>19</v>
      </c>
      <c r="E37" s="32">
        <f>D37*0.7</f>
        <v>13.299999999999999</v>
      </c>
      <c r="F37" s="36">
        <v>13.3</v>
      </c>
      <c r="G37" s="36"/>
      <c r="H37" s="37"/>
      <c r="I37" s="37"/>
      <c r="J37"/>
      <c r="K37"/>
    </row>
    <row r="38" spans="1:11" ht="12.75">
      <c r="A38" s="20" t="s">
        <v>102</v>
      </c>
      <c r="B38" s="20" t="s">
        <v>131</v>
      </c>
      <c r="C38" s="54" t="s">
        <v>132</v>
      </c>
      <c r="D38" s="18">
        <v>0</v>
      </c>
      <c r="E38" s="32">
        <v>0</v>
      </c>
      <c r="F38" s="36"/>
      <c r="G38" s="36"/>
      <c r="H38" s="37"/>
      <c r="I38" s="37"/>
      <c r="J38"/>
      <c r="K38"/>
    </row>
    <row r="39" spans="1:11" ht="12.75">
      <c r="A39" s="55" t="s">
        <v>103</v>
      </c>
      <c r="B39" s="21" t="s">
        <v>133</v>
      </c>
      <c r="C39" s="22" t="s">
        <v>61</v>
      </c>
      <c r="D39" s="18">
        <v>40</v>
      </c>
      <c r="E39" s="32">
        <f>1.8*4</f>
        <v>7.2</v>
      </c>
      <c r="F39" s="36">
        <f>E39/4</f>
        <v>1.8</v>
      </c>
      <c r="G39" s="36">
        <v>1.8</v>
      </c>
      <c r="H39" s="37">
        <v>1.8</v>
      </c>
      <c r="I39" s="37">
        <v>1.8</v>
      </c>
      <c r="J39"/>
      <c r="K39"/>
    </row>
    <row r="40" spans="1:11" ht="12.75">
      <c r="A40" s="142" t="s">
        <v>145</v>
      </c>
      <c r="B40" s="140"/>
      <c r="C40" s="140"/>
      <c r="D40" s="141"/>
      <c r="E40" s="40">
        <f>SUM(E16:E39)</f>
        <v>66.7</v>
      </c>
      <c r="F40" s="41">
        <f>SUM(F16:F39)</f>
        <v>35.599999999999994</v>
      </c>
      <c r="G40" s="41">
        <f>SUM(G16:G39)</f>
        <v>14.25</v>
      </c>
      <c r="H40" s="42">
        <f>SUM(H16:H39)</f>
        <v>14.649999999999999</v>
      </c>
      <c r="I40" s="42">
        <f>SUM(I16:I39)</f>
        <v>2.2</v>
      </c>
      <c r="J40" s="71">
        <f>F40+G40+H40+I40</f>
        <v>66.7</v>
      </c>
      <c r="K40" s="43"/>
    </row>
    <row r="41" spans="1:9" ht="12.75">
      <c r="A41" s="147" t="s">
        <v>55</v>
      </c>
      <c r="B41" s="148"/>
      <c r="C41" s="148"/>
      <c r="D41" s="149"/>
      <c r="E41" s="39"/>
      <c r="F41" s="36"/>
      <c r="G41" s="36"/>
      <c r="H41" s="37"/>
      <c r="I41" s="37"/>
    </row>
    <row r="42" spans="1:9" ht="12.75">
      <c r="A42" s="53" t="s">
        <v>7</v>
      </c>
      <c r="B42" s="56" t="s">
        <v>8</v>
      </c>
      <c r="C42" s="20"/>
      <c r="D42" s="18"/>
      <c r="E42" s="32"/>
      <c r="F42" s="36"/>
      <c r="G42" s="36"/>
      <c r="H42" s="37"/>
      <c r="I42" s="37"/>
    </row>
    <row r="43" spans="1:9" ht="12.75">
      <c r="A43" s="20" t="s">
        <v>9</v>
      </c>
      <c r="B43" s="20" t="s">
        <v>56</v>
      </c>
      <c r="C43" s="20"/>
      <c r="D43" s="18"/>
      <c r="E43" s="32"/>
      <c r="F43" s="36"/>
      <c r="G43" s="36"/>
      <c r="H43" s="37"/>
      <c r="I43" s="37"/>
    </row>
    <row r="44" spans="1:9" ht="12.75">
      <c r="A44" s="20"/>
      <c r="B44" s="20" t="s">
        <v>57</v>
      </c>
      <c r="C44" s="22" t="s">
        <v>14</v>
      </c>
      <c r="D44" s="18">
        <v>5.8</v>
      </c>
      <c r="E44" s="32">
        <f>D44*1.1</f>
        <v>6.38</v>
      </c>
      <c r="F44" s="36">
        <f>E44/4</f>
        <v>1.595</v>
      </c>
      <c r="G44" s="36">
        <v>1.6</v>
      </c>
      <c r="H44" s="37">
        <v>1.6</v>
      </c>
      <c r="I44" s="36">
        <f>E44-F44-G44-H44</f>
        <v>1.585</v>
      </c>
    </row>
    <row r="45" spans="1:9" ht="25.5">
      <c r="A45" s="20"/>
      <c r="B45" s="20" t="s">
        <v>58</v>
      </c>
      <c r="C45" s="22" t="s">
        <v>59</v>
      </c>
      <c r="D45" s="18">
        <v>1.2</v>
      </c>
      <c r="E45" s="32">
        <f>D45*0.4</f>
        <v>0.48</v>
      </c>
      <c r="F45" s="36">
        <f>E45/4</f>
        <v>0.12</v>
      </c>
      <c r="G45" s="36">
        <v>0.12</v>
      </c>
      <c r="H45" s="37">
        <v>0.12</v>
      </c>
      <c r="I45" s="36">
        <f>E45-F45-G45-H45</f>
        <v>0.12</v>
      </c>
    </row>
    <row r="46" spans="1:9" ht="12.75">
      <c r="A46" s="20" t="s">
        <v>12</v>
      </c>
      <c r="B46" s="21" t="s">
        <v>60</v>
      </c>
      <c r="C46" s="22" t="s">
        <v>61</v>
      </c>
      <c r="D46" s="18">
        <v>220</v>
      </c>
      <c r="E46" s="32">
        <f>0.1*D46</f>
        <v>22</v>
      </c>
      <c r="F46" s="36">
        <f>E46/4</f>
        <v>5.5</v>
      </c>
      <c r="G46" s="36">
        <v>5.5</v>
      </c>
      <c r="H46" s="37">
        <v>5.5</v>
      </c>
      <c r="I46" s="36">
        <f>E46-F46-G46-H46</f>
        <v>5.5</v>
      </c>
    </row>
    <row r="47" spans="1:9" ht="12.75">
      <c r="A47" s="20" t="s">
        <v>15</v>
      </c>
      <c r="B47" s="21" t="s">
        <v>62</v>
      </c>
      <c r="C47" s="22"/>
      <c r="D47" s="18"/>
      <c r="E47" s="32"/>
      <c r="F47" s="36"/>
      <c r="G47" s="36"/>
      <c r="H47" s="37"/>
      <c r="I47" s="36"/>
    </row>
    <row r="48" spans="1:11" ht="12.75">
      <c r="A48" s="20"/>
      <c r="B48" s="20" t="s">
        <v>57</v>
      </c>
      <c r="C48" s="22" t="s">
        <v>14</v>
      </c>
      <c r="D48" s="18">
        <v>5.8</v>
      </c>
      <c r="E48" s="32">
        <f>D48*0.9</f>
        <v>5.22</v>
      </c>
      <c r="F48" s="36">
        <f>E48/4</f>
        <v>1.305</v>
      </c>
      <c r="G48" s="36">
        <v>1.31</v>
      </c>
      <c r="H48" s="37">
        <v>1.31</v>
      </c>
      <c r="I48" s="36">
        <f>E48-F48-G48-H48</f>
        <v>1.295</v>
      </c>
      <c r="J48"/>
      <c r="K48"/>
    </row>
    <row r="49" spans="1:9" ht="12.75">
      <c r="A49" s="20"/>
      <c r="B49" s="20" t="s">
        <v>63</v>
      </c>
      <c r="C49" s="22" t="s">
        <v>136</v>
      </c>
      <c r="D49" s="18">
        <v>30</v>
      </c>
      <c r="E49" s="32">
        <f>D49*0.01</f>
        <v>0.3</v>
      </c>
      <c r="F49" s="36">
        <f>E49/4</f>
        <v>0.075</v>
      </c>
      <c r="G49" s="36">
        <v>0.08</v>
      </c>
      <c r="H49" s="37">
        <v>0.08</v>
      </c>
      <c r="I49" s="36">
        <f>E49-F49-G49-H49</f>
        <v>0.06499999999999996</v>
      </c>
    </row>
    <row r="50" spans="1:9" ht="12.75">
      <c r="A50" s="20"/>
      <c r="B50" s="57" t="s">
        <v>158</v>
      </c>
      <c r="C50" s="22" t="s">
        <v>64</v>
      </c>
      <c r="D50" s="18"/>
      <c r="E50" s="32"/>
      <c r="F50" s="36"/>
      <c r="G50" s="36"/>
      <c r="H50" s="37"/>
      <c r="I50" s="36"/>
    </row>
    <row r="51" spans="1:9" ht="12.75">
      <c r="A51" s="20" t="s">
        <v>17</v>
      </c>
      <c r="B51" s="20" t="s">
        <v>65</v>
      </c>
      <c r="C51" s="22" t="s">
        <v>66</v>
      </c>
      <c r="D51" s="18">
        <v>180</v>
      </c>
      <c r="E51" s="32">
        <f>D51*0.025</f>
        <v>4.5</v>
      </c>
      <c r="F51" s="36">
        <f>E51/4</f>
        <v>1.125</v>
      </c>
      <c r="G51" s="36">
        <v>1.13</v>
      </c>
      <c r="H51" s="37">
        <v>1.13</v>
      </c>
      <c r="I51" s="36">
        <f>E51-F51-G51-H51</f>
        <v>1.1150000000000002</v>
      </c>
    </row>
    <row r="52" spans="1:9" ht="12.75">
      <c r="A52" s="20" t="s">
        <v>19</v>
      </c>
      <c r="B52" s="20" t="s">
        <v>67</v>
      </c>
      <c r="C52" s="22" t="s">
        <v>68</v>
      </c>
      <c r="D52" s="18">
        <v>50</v>
      </c>
      <c r="E52" s="32">
        <f>D52*0.04</f>
        <v>2</v>
      </c>
      <c r="F52" s="36">
        <f>E52/4</f>
        <v>0.5</v>
      </c>
      <c r="G52" s="36">
        <v>0.5</v>
      </c>
      <c r="H52" s="37">
        <v>0.5</v>
      </c>
      <c r="I52" s="36">
        <f>E52-F52-G52-H52</f>
        <v>0.5</v>
      </c>
    </row>
    <row r="53" spans="1:9" ht="12.75">
      <c r="A53" s="20" t="s">
        <v>21</v>
      </c>
      <c r="B53" s="20" t="s">
        <v>69</v>
      </c>
      <c r="C53" s="22" t="s">
        <v>87</v>
      </c>
      <c r="D53" s="18">
        <v>200</v>
      </c>
      <c r="E53" s="32">
        <f>D53*0.068</f>
        <v>13.600000000000001</v>
      </c>
      <c r="F53" s="36">
        <f>E53/4</f>
        <v>3.4000000000000004</v>
      </c>
      <c r="G53" s="36">
        <v>3.4</v>
      </c>
      <c r="H53" s="37">
        <v>3.4</v>
      </c>
      <c r="I53" s="36">
        <f>E53-F53-G53-H53</f>
        <v>3.400000000000001</v>
      </c>
    </row>
    <row r="54" spans="1:9" ht="12.75">
      <c r="A54" s="46" t="s">
        <v>23</v>
      </c>
      <c r="B54" s="21" t="s">
        <v>71</v>
      </c>
      <c r="C54" s="22" t="s">
        <v>72</v>
      </c>
      <c r="D54" s="18">
        <v>50</v>
      </c>
      <c r="E54" s="32">
        <f>D54*0.05</f>
        <v>2.5</v>
      </c>
      <c r="F54" s="36">
        <f>E54/4</f>
        <v>0.625</v>
      </c>
      <c r="G54" s="36">
        <v>0.63</v>
      </c>
      <c r="H54" s="37">
        <v>0.63</v>
      </c>
      <c r="I54" s="36">
        <f>E54-F54-G54-H54</f>
        <v>0.6150000000000001</v>
      </c>
    </row>
    <row r="55" spans="1:9" ht="12.75">
      <c r="A55" s="20" t="s">
        <v>73</v>
      </c>
      <c r="B55" s="20" t="s">
        <v>74</v>
      </c>
      <c r="C55" s="22" t="s">
        <v>75</v>
      </c>
      <c r="D55" s="18">
        <v>0</v>
      </c>
      <c r="E55" s="32">
        <f>D55*0.1</f>
        <v>0</v>
      </c>
      <c r="F55" s="36"/>
      <c r="G55" s="36"/>
      <c r="H55" s="37"/>
      <c r="I55" s="36"/>
    </row>
    <row r="56" spans="1:9" ht="16.5" customHeight="1">
      <c r="A56" s="20" t="s">
        <v>26</v>
      </c>
      <c r="B56" s="21" t="s">
        <v>77</v>
      </c>
      <c r="C56" s="22" t="s">
        <v>68</v>
      </c>
      <c r="D56" s="18">
        <v>50</v>
      </c>
      <c r="E56" s="32">
        <f>D56*0.032</f>
        <v>1.6</v>
      </c>
      <c r="F56" s="36">
        <f>E56/4</f>
        <v>0.4</v>
      </c>
      <c r="G56" s="36">
        <v>0.4</v>
      </c>
      <c r="H56" s="37">
        <v>0.4</v>
      </c>
      <c r="I56" s="36">
        <f>E56-F56-G56-H56</f>
        <v>0.40000000000000013</v>
      </c>
    </row>
    <row r="57" spans="1:9" ht="25.5">
      <c r="A57" s="20" t="s">
        <v>28</v>
      </c>
      <c r="B57" s="21" t="s">
        <v>79</v>
      </c>
      <c r="C57" s="22" t="s">
        <v>80</v>
      </c>
      <c r="D57" s="18"/>
      <c r="E57" s="32"/>
      <c r="F57" s="36"/>
      <c r="G57" s="36"/>
      <c r="H57" s="37"/>
      <c r="I57" s="36"/>
    </row>
    <row r="58" spans="1:9" ht="16.5" customHeight="1">
      <c r="A58" s="20" t="s">
        <v>70</v>
      </c>
      <c r="B58" s="21" t="s">
        <v>82</v>
      </c>
      <c r="C58" s="22" t="s">
        <v>83</v>
      </c>
      <c r="D58" s="18">
        <v>130</v>
      </c>
      <c r="E58" s="32">
        <f>D58*0.02</f>
        <v>2.6</v>
      </c>
      <c r="F58" s="36">
        <f aca="true" t="shared" si="0" ref="F58:F64">E58/4</f>
        <v>0.65</v>
      </c>
      <c r="G58" s="36">
        <v>0.65</v>
      </c>
      <c r="H58" s="37">
        <v>0.65</v>
      </c>
      <c r="I58" s="36">
        <f aca="true" t="shared" si="1" ref="I58:I64">E58-F58-G58-H58</f>
        <v>0.6500000000000002</v>
      </c>
    </row>
    <row r="59" spans="1:9" ht="12.75">
      <c r="A59" s="20" t="s">
        <v>73</v>
      </c>
      <c r="B59" s="21" t="s">
        <v>154</v>
      </c>
      <c r="C59" s="22" t="s">
        <v>144</v>
      </c>
      <c r="D59" s="18">
        <v>30</v>
      </c>
      <c r="E59" s="32">
        <f>D59*0.128</f>
        <v>3.84</v>
      </c>
      <c r="F59" s="36">
        <f t="shared" si="0"/>
        <v>0.96</v>
      </c>
      <c r="G59" s="36">
        <v>0.96</v>
      </c>
      <c r="H59" s="37">
        <v>0.96</v>
      </c>
      <c r="I59" s="36">
        <f t="shared" si="1"/>
        <v>0.96</v>
      </c>
    </row>
    <row r="60" spans="1:9" ht="12.75">
      <c r="A60" s="20" t="s">
        <v>76</v>
      </c>
      <c r="B60" s="21" t="s">
        <v>155</v>
      </c>
      <c r="C60" s="22" t="s">
        <v>144</v>
      </c>
      <c r="D60" s="18">
        <v>20</v>
      </c>
      <c r="E60" s="32">
        <f>D60*0.152</f>
        <v>3.04</v>
      </c>
      <c r="F60" s="36">
        <f t="shared" si="0"/>
        <v>0.76</v>
      </c>
      <c r="G60" s="36">
        <v>0.76</v>
      </c>
      <c r="H60" s="37">
        <v>0.76</v>
      </c>
      <c r="I60" s="36">
        <f t="shared" si="1"/>
        <v>0.7600000000000002</v>
      </c>
    </row>
    <row r="61" spans="1:9" ht="12.75">
      <c r="A61" s="46" t="s">
        <v>78</v>
      </c>
      <c r="B61" s="21" t="s">
        <v>84</v>
      </c>
      <c r="C61" s="22" t="s">
        <v>85</v>
      </c>
      <c r="D61" s="18">
        <v>10</v>
      </c>
      <c r="E61" s="32">
        <f>D61*0.1</f>
        <v>1</v>
      </c>
      <c r="F61" s="36">
        <f t="shared" si="0"/>
        <v>0.25</v>
      </c>
      <c r="G61" s="36">
        <v>0.25</v>
      </c>
      <c r="H61" s="37">
        <v>0.25</v>
      </c>
      <c r="I61" s="36">
        <f t="shared" si="1"/>
        <v>0.25</v>
      </c>
    </row>
    <row r="62" spans="1:9" ht="12.75">
      <c r="A62" s="46" t="s">
        <v>81</v>
      </c>
      <c r="B62" s="21" t="s">
        <v>86</v>
      </c>
      <c r="C62" s="22" t="s">
        <v>87</v>
      </c>
      <c r="D62" s="18">
        <v>30</v>
      </c>
      <c r="E62" s="32">
        <f>D62*0.03</f>
        <v>0.8999999999999999</v>
      </c>
      <c r="F62" s="36">
        <f t="shared" si="0"/>
        <v>0.22499999999999998</v>
      </c>
      <c r="G62" s="36">
        <v>0.23</v>
      </c>
      <c r="H62" s="37">
        <v>0.23</v>
      </c>
      <c r="I62" s="36">
        <f t="shared" si="1"/>
        <v>0.21499999999999994</v>
      </c>
    </row>
    <row r="63" spans="1:9" ht="12.75">
      <c r="A63" s="46" t="s">
        <v>156</v>
      </c>
      <c r="B63" s="21" t="s">
        <v>88</v>
      </c>
      <c r="C63" s="22" t="s">
        <v>89</v>
      </c>
      <c r="D63" s="18">
        <v>100</v>
      </c>
      <c r="E63" s="32">
        <f>D63*0.02</f>
        <v>2</v>
      </c>
      <c r="F63" s="36">
        <f t="shared" si="0"/>
        <v>0.5</v>
      </c>
      <c r="G63" s="36">
        <v>0.5</v>
      </c>
      <c r="H63" s="37">
        <v>0.5</v>
      </c>
      <c r="I63" s="36">
        <f t="shared" si="1"/>
        <v>0.5</v>
      </c>
    </row>
    <row r="64" spans="1:9" ht="12.75">
      <c r="A64" s="46" t="s">
        <v>157</v>
      </c>
      <c r="B64" s="37" t="s">
        <v>143</v>
      </c>
      <c r="C64" s="37" t="s">
        <v>144</v>
      </c>
      <c r="D64" s="37">
        <v>70</v>
      </c>
      <c r="E64" s="37">
        <f>D64*0.15</f>
        <v>10.5</v>
      </c>
      <c r="F64" s="36">
        <f t="shared" si="0"/>
        <v>2.625</v>
      </c>
      <c r="G64" s="37">
        <v>2.63</v>
      </c>
      <c r="H64" s="37">
        <v>2.63</v>
      </c>
      <c r="I64" s="36">
        <f t="shared" si="1"/>
        <v>2.615</v>
      </c>
    </row>
    <row r="65" spans="1:9" ht="12.75">
      <c r="A65" s="20" t="s">
        <v>31</v>
      </c>
      <c r="B65" s="137" t="s">
        <v>32</v>
      </c>
      <c r="C65" s="138"/>
      <c r="D65" s="138"/>
      <c r="E65" s="26"/>
      <c r="F65" s="36"/>
      <c r="G65" s="36"/>
      <c r="H65" s="37"/>
      <c r="I65" s="37"/>
    </row>
    <row r="66" spans="1:9" ht="12.75">
      <c r="A66" s="20" t="s">
        <v>33</v>
      </c>
      <c r="B66" s="21" t="s">
        <v>90</v>
      </c>
      <c r="C66" s="22" t="s">
        <v>91</v>
      </c>
      <c r="D66" s="18">
        <v>59</v>
      </c>
      <c r="E66" s="32">
        <f>D66*0.2</f>
        <v>11.8</v>
      </c>
      <c r="F66" s="36"/>
      <c r="G66" s="36">
        <v>11.8</v>
      </c>
      <c r="H66" s="37"/>
      <c r="I66" s="37"/>
    </row>
    <row r="67" spans="1:9" ht="12.75">
      <c r="A67" s="20" t="s">
        <v>39</v>
      </c>
      <c r="B67" s="137" t="s">
        <v>32</v>
      </c>
      <c r="C67" s="138"/>
      <c r="D67" s="138"/>
      <c r="E67" s="26"/>
      <c r="F67" s="36"/>
      <c r="G67" s="36"/>
      <c r="H67" s="37"/>
      <c r="I67" s="37"/>
    </row>
    <row r="68" spans="1:9" ht="12.75">
      <c r="A68" s="20" t="s">
        <v>40</v>
      </c>
      <c r="B68" s="21" t="s">
        <v>92</v>
      </c>
      <c r="C68" s="22" t="s">
        <v>93</v>
      </c>
      <c r="D68" s="18">
        <v>5</v>
      </c>
      <c r="E68" s="32">
        <f>D68*0.3</f>
        <v>1.5</v>
      </c>
      <c r="F68" s="36"/>
      <c r="G68" s="36">
        <f>E68/2</f>
        <v>0.75</v>
      </c>
      <c r="H68" s="37">
        <v>0.75</v>
      </c>
      <c r="I68" s="37"/>
    </row>
    <row r="69" spans="1:9" ht="12.75">
      <c r="A69" s="20" t="s">
        <v>41</v>
      </c>
      <c r="B69" s="21" t="s">
        <v>94</v>
      </c>
      <c r="C69" s="22" t="s">
        <v>95</v>
      </c>
      <c r="D69" s="18"/>
      <c r="E69" s="32"/>
      <c r="F69" s="36"/>
      <c r="G69" s="36"/>
      <c r="H69" s="37"/>
      <c r="I69" s="37"/>
    </row>
    <row r="70" spans="1:9" ht="12.75">
      <c r="A70" s="20" t="s">
        <v>47</v>
      </c>
      <c r="B70" s="21" t="s">
        <v>96</v>
      </c>
      <c r="C70" s="22" t="s">
        <v>97</v>
      </c>
      <c r="D70" s="18">
        <v>541.31</v>
      </c>
      <c r="E70" s="32">
        <f>D70*0.0976</f>
        <v>52.831855999999995</v>
      </c>
      <c r="F70" s="36"/>
      <c r="G70" s="36"/>
      <c r="H70" s="37">
        <v>52.83</v>
      </c>
      <c r="I70" s="37"/>
    </row>
    <row r="71" spans="1:9" ht="12.75">
      <c r="A71" s="20" t="s">
        <v>52</v>
      </c>
      <c r="B71" s="21" t="s">
        <v>98</v>
      </c>
      <c r="C71" s="22" t="s">
        <v>91</v>
      </c>
      <c r="D71" s="18">
        <v>59</v>
      </c>
      <c r="E71" s="32">
        <f>D71*0.874</f>
        <v>51.566</v>
      </c>
      <c r="F71" s="36"/>
      <c r="G71" s="36"/>
      <c r="H71" s="37">
        <v>51.57</v>
      </c>
      <c r="I71" s="37"/>
    </row>
    <row r="72" spans="1:9" ht="12.75">
      <c r="A72" s="20" t="s">
        <v>99</v>
      </c>
      <c r="B72" s="21" t="s">
        <v>100</v>
      </c>
      <c r="C72" s="22" t="s">
        <v>101</v>
      </c>
      <c r="D72" s="18">
        <v>300</v>
      </c>
      <c r="E72" s="32">
        <f>D72*0.1</f>
        <v>30</v>
      </c>
      <c r="F72" s="36">
        <v>10</v>
      </c>
      <c r="G72" s="36"/>
      <c r="H72" s="37">
        <v>10</v>
      </c>
      <c r="I72" s="37">
        <v>10</v>
      </c>
    </row>
    <row r="73" spans="1:9" ht="12.75">
      <c r="A73" s="20" t="s">
        <v>102</v>
      </c>
      <c r="B73" s="21" t="s">
        <v>134</v>
      </c>
      <c r="C73" s="22" t="s">
        <v>130</v>
      </c>
      <c r="D73" s="18">
        <v>6</v>
      </c>
      <c r="E73" s="32">
        <f>D73*0.85</f>
        <v>5.1</v>
      </c>
      <c r="F73" s="36">
        <f>E73/3</f>
        <v>1.7</v>
      </c>
      <c r="G73" s="36"/>
      <c r="H73" s="37">
        <v>1.7</v>
      </c>
      <c r="I73" s="36">
        <f>E73-F73-H73</f>
        <v>1.6999999999999995</v>
      </c>
    </row>
    <row r="74" spans="1:9" ht="12.75">
      <c r="A74" s="20" t="s">
        <v>103</v>
      </c>
      <c r="B74" s="57" t="s">
        <v>135</v>
      </c>
      <c r="C74" s="58" t="s">
        <v>130</v>
      </c>
      <c r="D74" s="18">
        <v>0</v>
      </c>
      <c r="E74" s="32">
        <v>0</v>
      </c>
      <c r="F74" s="36">
        <v>0</v>
      </c>
      <c r="G74" s="36">
        <v>0</v>
      </c>
      <c r="H74" s="37">
        <v>0</v>
      </c>
      <c r="I74" s="37">
        <v>0</v>
      </c>
    </row>
    <row r="75" spans="1:11" ht="12.75">
      <c r="A75" s="142" t="s">
        <v>146</v>
      </c>
      <c r="B75" s="140"/>
      <c r="C75" s="140"/>
      <c r="D75" s="141"/>
      <c r="E75" s="40">
        <f>SUM(E44:E74)</f>
        <v>235.257856</v>
      </c>
      <c r="F75" s="41">
        <f>SUM(F43:F74)</f>
        <v>32.315000000000005</v>
      </c>
      <c r="G75" s="41">
        <f>SUM(G43:G74)</f>
        <v>33.2</v>
      </c>
      <c r="H75" s="42">
        <f>SUM(H43:H74)</f>
        <v>137.5</v>
      </c>
      <c r="I75" s="42">
        <f>SUM(I43:I74)</f>
        <v>32.245000000000005</v>
      </c>
      <c r="J75" s="72">
        <f>F75+G75+H75+I75</f>
        <v>235.26000000000002</v>
      </c>
      <c r="K75" s="68"/>
    </row>
    <row r="76" spans="1:9" ht="12.75">
      <c r="A76" s="51" t="s">
        <v>104</v>
      </c>
      <c r="B76" s="39"/>
      <c r="C76" s="39"/>
      <c r="D76" s="39"/>
      <c r="E76" s="33"/>
      <c r="F76" s="36"/>
      <c r="G76" s="36"/>
      <c r="H76" s="37"/>
      <c r="I76" s="37"/>
    </row>
    <row r="77" spans="1:9" ht="12.75">
      <c r="A77" s="53" t="s">
        <v>7</v>
      </c>
      <c r="B77" s="56" t="s">
        <v>105</v>
      </c>
      <c r="C77" s="22"/>
      <c r="D77" s="18"/>
      <c r="E77" s="32"/>
      <c r="F77" s="36"/>
      <c r="G77" s="36"/>
      <c r="H77" s="37"/>
      <c r="I77" s="37"/>
    </row>
    <row r="78" spans="1:9" ht="12.75">
      <c r="A78" s="20" t="s">
        <v>9</v>
      </c>
      <c r="B78" s="20" t="s">
        <v>106</v>
      </c>
      <c r="C78" s="22" t="s">
        <v>107</v>
      </c>
      <c r="D78" s="18">
        <f>1870+9120</f>
        <v>10990</v>
      </c>
      <c r="E78" s="32">
        <v>128.98</v>
      </c>
      <c r="F78" s="36">
        <f>E78/4</f>
        <v>32.245</v>
      </c>
      <c r="G78" s="36">
        <v>32.25</v>
      </c>
      <c r="H78" s="37">
        <v>32.25</v>
      </c>
      <c r="I78" s="37">
        <v>32.25</v>
      </c>
    </row>
    <row r="79" spans="1:11" ht="12.75">
      <c r="A79" s="20" t="s">
        <v>12</v>
      </c>
      <c r="B79" s="21" t="s">
        <v>108</v>
      </c>
      <c r="C79" s="22" t="s">
        <v>109</v>
      </c>
      <c r="D79" s="18">
        <v>1</v>
      </c>
      <c r="E79" s="32">
        <v>10</v>
      </c>
      <c r="F79" s="36"/>
      <c r="G79" s="36"/>
      <c r="H79" s="37"/>
      <c r="I79" s="37"/>
      <c r="K79" s="23"/>
    </row>
    <row r="80" spans="1:9" ht="12.75">
      <c r="A80" s="20" t="s">
        <v>15</v>
      </c>
      <c r="B80" s="21" t="s">
        <v>110</v>
      </c>
      <c r="C80" s="22" t="s">
        <v>107</v>
      </c>
      <c r="D80" s="18">
        <v>5000</v>
      </c>
      <c r="E80" s="32">
        <v>10</v>
      </c>
      <c r="F80" s="36"/>
      <c r="G80" s="36">
        <v>5</v>
      </c>
      <c r="H80" s="37">
        <v>5</v>
      </c>
      <c r="I80" s="37"/>
    </row>
    <row r="81" spans="1:9" ht="12.75">
      <c r="A81" s="20" t="s">
        <v>31</v>
      </c>
      <c r="B81" s="56" t="s">
        <v>111</v>
      </c>
      <c r="C81" s="22"/>
      <c r="D81" s="18"/>
      <c r="E81" s="32"/>
      <c r="F81" s="36"/>
      <c r="G81" s="36"/>
      <c r="H81" s="37"/>
      <c r="I81" s="37"/>
    </row>
    <row r="82" spans="1:9" ht="25.5">
      <c r="A82" s="20"/>
      <c r="B82" s="21" t="s">
        <v>112</v>
      </c>
      <c r="C82" s="22" t="s">
        <v>113</v>
      </c>
      <c r="D82" s="18"/>
      <c r="E82" s="32"/>
      <c r="F82" s="36"/>
      <c r="G82" s="36"/>
      <c r="H82" s="37"/>
      <c r="I82" s="37"/>
    </row>
    <row r="83" spans="1:9" ht="25.5">
      <c r="A83" s="20"/>
      <c r="B83" s="21" t="s">
        <v>114</v>
      </c>
      <c r="C83" s="22" t="s">
        <v>113</v>
      </c>
      <c r="D83" s="18"/>
      <c r="E83" s="32">
        <f>(2*12)+(3.6*12)</f>
        <v>67.2</v>
      </c>
      <c r="F83" s="36">
        <f>E83/4</f>
        <v>16.8</v>
      </c>
      <c r="G83" s="36">
        <v>16.8</v>
      </c>
      <c r="H83" s="37">
        <v>16.8</v>
      </c>
      <c r="I83" s="36">
        <v>16.8</v>
      </c>
    </row>
    <row r="84" spans="1:11" ht="12.75">
      <c r="A84" s="139" t="s">
        <v>147</v>
      </c>
      <c r="B84" s="140"/>
      <c r="C84" s="140"/>
      <c r="D84" s="141"/>
      <c r="E84" s="40">
        <f>SUM(E78:E83)</f>
        <v>216.18</v>
      </c>
      <c r="F84" s="41">
        <f>SUM(F78:F83)</f>
        <v>49.045</v>
      </c>
      <c r="G84" s="41">
        <f>SUM(G78:G83)</f>
        <v>54.05</v>
      </c>
      <c r="H84" s="42">
        <f>SUM(H78:H83)</f>
        <v>54.05</v>
      </c>
      <c r="I84" s="41">
        <f>SUM(I78:I83)</f>
        <v>49.05</v>
      </c>
      <c r="J84" s="72">
        <f>F84+G84+H84+I84</f>
        <v>206.195</v>
      </c>
      <c r="K84" s="68"/>
    </row>
    <row r="85" spans="1:9" ht="12.75">
      <c r="A85" s="136" t="s">
        <v>115</v>
      </c>
      <c r="B85" s="136"/>
      <c r="C85" s="136"/>
      <c r="D85" s="136"/>
      <c r="E85" s="34"/>
      <c r="F85" s="36"/>
      <c r="G85" s="36"/>
      <c r="H85" s="37"/>
      <c r="I85" s="37"/>
    </row>
    <row r="86" spans="1:9" ht="12.75">
      <c r="A86" s="59">
        <v>1</v>
      </c>
      <c r="B86" s="53" t="s">
        <v>126</v>
      </c>
      <c r="C86" s="60" t="s">
        <v>127</v>
      </c>
      <c r="D86" s="52">
        <v>12715.9</v>
      </c>
      <c r="E86" s="35">
        <f>D86*0.59*12/1000</f>
        <v>90.02857199999998</v>
      </c>
      <c r="F86" s="36">
        <f>E86/4</f>
        <v>22.507142999999996</v>
      </c>
      <c r="G86" s="36">
        <v>22.51</v>
      </c>
      <c r="H86" s="37">
        <v>22.51</v>
      </c>
      <c r="I86" s="36">
        <v>22.51</v>
      </c>
    </row>
    <row r="87" spans="1:9" ht="12.75">
      <c r="A87" s="59">
        <v>2</v>
      </c>
      <c r="B87" s="53" t="s">
        <v>116</v>
      </c>
      <c r="C87" s="60" t="s">
        <v>117</v>
      </c>
      <c r="D87" s="52">
        <v>1700</v>
      </c>
      <c r="E87" s="31">
        <f>D87*1.4*2/1000</f>
        <v>4.76</v>
      </c>
      <c r="F87" s="36"/>
      <c r="G87" s="36">
        <v>1.8</v>
      </c>
      <c r="H87" s="37">
        <v>1.8</v>
      </c>
      <c r="I87" s="37"/>
    </row>
    <row r="88" spans="1:9" ht="25.5">
      <c r="A88" s="59">
        <v>3</v>
      </c>
      <c r="B88" s="61" t="s">
        <v>128</v>
      </c>
      <c r="C88" s="60"/>
      <c r="D88" s="52"/>
      <c r="E88" s="35">
        <v>20</v>
      </c>
      <c r="F88" s="36">
        <f>E88/4</f>
        <v>5</v>
      </c>
      <c r="G88" s="36">
        <v>5</v>
      </c>
      <c r="H88" s="37">
        <v>5</v>
      </c>
      <c r="I88" s="36">
        <v>5</v>
      </c>
    </row>
    <row r="89" spans="1:10" ht="12.75">
      <c r="A89" s="59">
        <v>4</v>
      </c>
      <c r="B89" s="62" t="s">
        <v>148</v>
      </c>
      <c r="C89" s="60" t="s">
        <v>127</v>
      </c>
      <c r="D89" s="52">
        <v>12715.9</v>
      </c>
      <c r="E89" s="31">
        <v>121.637</v>
      </c>
      <c r="F89" s="36">
        <f>E89/4</f>
        <v>30.40925</v>
      </c>
      <c r="G89" s="36">
        <v>28.89</v>
      </c>
      <c r="H89" s="37">
        <v>28.89</v>
      </c>
      <c r="I89" s="36">
        <f>E89-F89-G89-H89</f>
        <v>33.44775</v>
      </c>
      <c r="J89" s="23"/>
    </row>
    <row r="90" spans="1:11" ht="12.75">
      <c r="A90" s="142" t="s">
        <v>149</v>
      </c>
      <c r="B90" s="140"/>
      <c r="C90" s="140"/>
      <c r="D90" s="141"/>
      <c r="E90" s="40">
        <f>SUM(E86:E89)</f>
        <v>236.425572</v>
      </c>
      <c r="F90" s="41">
        <f>SUM(F86:F89)</f>
        <v>57.916393</v>
      </c>
      <c r="G90" s="41">
        <f>SUM(G86:G89)</f>
        <v>58.2</v>
      </c>
      <c r="H90" s="42">
        <f>SUM(H86:H89)</f>
        <v>58.2</v>
      </c>
      <c r="I90" s="41">
        <f>SUM(I86:I89)</f>
        <v>60.957750000000004</v>
      </c>
      <c r="J90" s="72">
        <f>F90+G90+H90+I90</f>
        <v>235.274143</v>
      </c>
      <c r="K90" s="68"/>
    </row>
    <row r="91" spans="1:11" ht="12.75">
      <c r="A91" s="139" t="s">
        <v>150</v>
      </c>
      <c r="B91" s="140"/>
      <c r="C91" s="140"/>
      <c r="D91" s="141"/>
      <c r="E91" s="40">
        <f>E40+E75+E84+E90</f>
        <v>754.563428</v>
      </c>
      <c r="F91" s="41">
        <f>F40+F75+F84+F90</f>
        <v>174.876393</v>
      </c>
      <c r="G91" s="41">
        <f>G40+G75+G84+G90</f>
        <v>159.7</v>
      </c>
      <c r="H91" s="41">
        <f>H40+H75+H84+H90</f>
        <v>264.4</v>
      </c>
      <c r="I91" s="41">
        <f>I40+I75+I84+I90</f>
        <v>144.45275</v>
      </c>
      <c r="J91" s="74">
        <f>754.565</f>
        <v>754.565</v>
      </c>
      <c r="K91" s="23">
        <f>J91-E91</f>
        <v>0.0015720000000101209</v>
      </c>
    </row>
    <row r="92" spans="1:11" ht="25.5">
      <c r="A92" s="150">
        <v>1</v>
      </c>
      <c r="B92" s="63" t="s">
        <v>182</v>
      </c>
      <c r="C92" s="94" t="s">
        <v>107</v>
      </c>
      <c r="D92" s="52">
        <v>12715.9</v>
      </c>
      <c r="E92" s="104">
        <f>(2.32*D92*10/1000)+(4100*6*2/1000)</f>
        <v>344.2088799999999</v>
      </c>
      <c r="F92" s="97">
        <f>E92/4</f>
        <v>86.05221999999998</v>
      </c>
      <c r="G92" s="97">
        <v>86.1</v>
      </c>
      <c r="H92" s="97">
        <v>86.1</v>
      </c>
      <c r="I92" s="97">
        <v>86.1</v>
      </c>
      <c r="J92" s="109"/>
      <c r="K92" s="23"/>
    </row>
    <row r="93" spans="1:11" ht="12.75">
      <c r="A93" s="151"/>
      <c r="B93" s="62" t="s">
        <v>183</v>
      </c>
      <c r="C93" s="66"/>
      <c r="D93" s="52"/>
      <c r="E93" s="104">
        <v>57.1</v>
      </c>
      <c r="F93" s="97">
        <f>E93/4</f>
        <v>14.275</v>
      </c>
      <c r="G93" s="97">
        <v>14.3</v>
      </c>
      <c r="H93" s="97">
        <v>14.3</v>
      </c>
      <c r="I93" s="97">
        <v>14.3</v>
      </c>
      <c r="J93" s="109"/>
      <c r="K93" s="23"/>
    </row>
    <row r="94" spans="1:11" ht="16.5" customHeight="1">
      <c r="A94" s="152"/>
      <c r="B94" s="82" t="s">
        <v>184</v>
      </c>
      <c r="C94" s="81"/>
      <c r="D94" s="41"/>
      <c r="E94" s="99">
        <f>SUM(E92:E93)</f>
        <v>401.30887999999993</v>
      </c>
      <c r="F94" s="100">
        <v>100.4</v>
      </c>
      <c r="G94" s="100">
        <f>SUM(G92:G93)</f>
        <v>100.39999999999999</v>
      </c>
      <c r="H94" s="100">
        <f>SUM(H92:H93)</f>
        <v>100.39999999999999</v>
      </c>
      <c r="I94" s="100">
        <f>SUM(I92:I93)</f>
        <v>100.39999999999999</v>
      </c>
      <c r="J94" s="109">
        <f>F94+G94+H94+I94</f>
        <v>401.59999999999997</v>
      </c>
      <c r="K94" s="23"/>
    </row>
    <row r="95" spans="1:11" ht="25.5">
      <c r="A95" s="150">
        <v>2</v>
      </c>
      <c r="B95" s="62" t="s">
        <v>188</v>
      </c>
      <c r="C95" s="66" t="s">
        <v>107</v>
      </c>
      <c r="D95" s="52">
        <v>12715.9</v>
      </c>
      <c r="E95" s="104">
        <f>D95*1.62*12/1000</f>
        <v>247.19709600000002</v>
      </c>
      <c r="F95" s="97">
        <f>E95/4</f>
        <v>61.799274000000004</v>
      </c>
      <c r="G95" s="97">
        <v>61.8</v>
      </c>
      <c r="H95" s="97">
        <v>61.8</v>
      </c>
      <c r="I95" s="97">
        <v>61.8</v>
      </c>
      <c r="J95" s="109"/>
      <c r="K95" s="23"/>
    </row>
    <row r="96" spans="1:11" ht="12.75">
      <c r="A96" s="151"/>
      <c r="B96" s="62" t="s">
        <v>183</v>
      </c>
      <c r="C96" s="66"/>
      <c r="D96" s="52"/>
      <c r="E96" s="104">
        <f>254.826-E95</f>
        <v>7.628903999999977</v>
      </c>
      <c r="F96" s="97">
        <f>E96/4</f>
        <v>1.9072259999999943</v>
      </c>
      <c r="G96" s="97">
        <v>1.9</v>
      </c>
      <c r="H96" s="97">
        <v>1.9</v>
      </c>
      <c r="I96" s="97">
        <v>1.9</v>
      </c>
      <c r="J96" s="109"/>
      <c r="K96" s="23"/>
    </row>
    <row r="97" spans="1:11" ht="12.75">
      <c r="A97" s="152"/>
      <c r="B97" s="82" t="s">
        <v>189</v>
      </c>
      <c r="C97" s="81"/>
      <c r="D97" s="41"/>
      <c r="E97" s="99">
        <f>SUM(E95:E96)</f>
        <v>254.826</v>
      </c>
      <c r="F97" s="100">
        <f>SUM(F95:F96)</f>
        <v>63.7065</v>
      </c>
      <c r="G97" s="100">
        <f>SUM(G95:G96)</f>
        <v>63.699999999999996</v>
      </c>
      <c r="H97" s="100">
        <f>SUM(H95:H96)</f>
        <v>63.699999999999996</v>
      </c>
      <c r="I97" s="100">
        <f>SUM(I95:I96)</f>
        <v>63.699999999999996</v>
      </c>
      <c r="J97" s="109">
        <f>F97+G97+H97+I97</f>
        <v>254.80649999999997</v>
      </c>
      <c r="K97" s="23"/>
    </row>
    <row r="98" spans="1:11" ht="25.5">
      <c r="A98" s="150">
        <v>3</v>
      </c>
      <c r="B98" s="62" t="s">
        <v>185</v>
      </c>
      <c r="C98" s="60" t="s">
        <v>107</v>
      </c>
      <c r="D98" s="52">
        <v>12715.9</v>
      </c>
      <c r="E98" s="104">
        <f>D98*0.45*12/1000</f>
        <v>68.66586</v>
      </c>
      <c r="F98" s="97">
        <f>E98/4</f>
        <v>17.166465</v>
      </c>
      <c r="G98" s="97">
        <v>17.2</v>
      </c>
      <c r="H98" s="97">
        <v>17.2</v>
      </c>
      <c r="I98" s="97">
        <v>17.2</v>
      </c>
      <c r="J98" s="109"/>
      <c r="K98" s="23"/>
    </row>
    <row r="99" spans="1:11" ht="12.75">
      <c r="A99" s="151"/>
      <c r="B99" s="63" t="s">
        <v>183</v>
      </c>
      <c r="C99" s="60"/>
      <c r="D99" s="52"/>
      <c r="E99" s="104">
        <v>10.9</v>
      </c>
      <c r="F99" s="97">
        <f>E99/4</f>
        <v>2.725</v>
      </c>
      <c r="G99" s="97">
        <v>2.7</v>
      </c>
      <c r="H99" s="97">
        <v>2.7</v>
      </c>
      <c r="I99" s="97">
        <v>2.7</v>
      </c>
      <c r="J99" s="109"/>
      <c r="K99" s="23"/>
    </row>
    <row r="100" spans="1:11" ht="25.5">
      <c r="A100" s="152"/>
      <c r="B100" s="83" t="s">
        <v>186</v>
      </c>
      <c r="C100" s="84"/>
      <c r="D100" s="41"/>
      <c r="E100" s="99">
        <f>SUM(E98:E99)</f>
        <v>79.56586</v>
      </c>
      <c r="F100" s="99">
        <f>SUM(F98:F99)</f>
        <v>19.891465</v>
      </c>
      <c r="G100" s="99">
        <f>SUM(G98:G99)</f>
        <v>19.9</v>
      </c>
      <c r="H100" s="99">
        <f>SUM(H98:H99)</f>
        <v>19.9</v>
      </c>
      <c r="I100" s="100">
        <f>SUM(I98:I99)</f>
        <v>19.9</v>
      </c>
      <c r="J100" s="109">
        <f>F100+G100+H100+I100</f>
        <v>79.591465</v>
      </c>
      <c r="K100" s="23"/>
    </row>
    <row r="101" spans="1:11" ht="12.75">
      <c r="A101" s="126" t="s">
        <v>152</v>
      </c>
      <c r="B101" s="119"/>
      <c r="C101" s="119"/>
      <c r="D101" s="119"/>
      <c r="E101" s="105">
        <f>E94+E97+E100</f>
        <v>735.70074</v>
      </c>
      <c r="F101" s="105">
        <f>F94+F97+F100</f>
        <v>183.99796500000002</v>
      </c>
      <c r="G101" s="105">
        <f>G94+G97+G100</f>
        <v>184</v>
      </c>
      <c r="H101" s="105">
        <f>H94+H97+H100</f>
        <v>184</v>
      </c>
      <c r="I101" s="105">
        <f>I94+I97+I100</f>
        <v>184</v>
      </c>
      <c r="J101" s="109"/>
      <c r="K101" s="23"/>
    </row>
    <row r="102" spans="1:10" ht="15.75">
      <c r="A102" s="145" t="s">
        <v>153</v>
      </c>
      <c r="B102" s="146"/>
      <c r="C102" s="146"/>
      <c r="D102" s="146"/>
      <c r="E102" s="106">
        <f>E91+E101</f>
        <v>1490.2641680000002</v>
      </c>
      <c r="F102" s="106">
        <f>F91+F101</f>
        <v>358.87435800000003</v>
      </c>
      <c r="G102" s="106">
        <f>G91+G101</f>
        <v>343.7</v>
      </c>
      <c r="H102" s="106">
        <f>H91+H101</f>
        <v>448.4</v>
      </c>
      <c r="I102" s="106">
        <f>I91+I101</f>
        <v>328.45275000000004</v>
      </c>
      <c r="J102" s="23">
        <f>F102+G102+H102+I102</f>
        <v>1479.4271079999999</v>
      </c>
    </row>
    <row r="103" spans="1:9" ht="12.75">
      <c r="A103" s="124" t="s">
        <v>118</v>
      </c>
      <c r="B103" s="124"/>
      <c r="C103" s="124"/>
      <c r="D103" s="124"/>
      <c r="E103" s="125"/>
      <c r="F103" s="36"/>
      <c r="G103" s="36"/>
      <c r="H103" s="37"/>
      <c r="I103" s="37"/>
    </row>
    <row r="104" spans="1:9" ht="12.75">
      <c r="A104" s="53" t="s">
        <v>7</v>
      </c>
      <c r="B104" s="53" t="s">
        <v>119</v>
      </c>
      <c r="C104" s="66" t="s">
        <v>120</v>
      </c>
      <c r="D104" s="52">
        <v>110.691</v>
      </c>
      <c r="E104" s="31"/>
      <c r="F104" s="36"/>
      <c r="G104" s="36"/>
      <c r="H104" s="37"/>
      <c r="I104" s="37"/>
    </row>
    <row r="105" spans="1:9" ht="12.75">
      <c r="A105" s="53" t="s">
        <v>31</v>
      </c>
      <c r="B105" s="53" t="s">
        <v>121</v>
      </c>
      <c r="C105" s="66" t="s">
        <v>122</v>
      </c>
      <c r="D105" s="52">
        <f>12+4</f>
        <v>16</v>
      </c>
      <c r="E105" s="31"/>
      <c r="F105" s="36"/>
      <c r="G105" s="36"/>
      <c r="H105" s="37"/>
      <c r="I105" s="37"/>
    </row>
    <row r="106" spans="1:11" ht="12.75">
      <c r="A106" s="53" t="s">
        <v>39</v>
      </c>
      <c r="B106" s="53" t="s">
        <v>123</v>
      </c>
      <c r="C106" s="66" t="s">
        <v>122</v>
      </c>
      <c r="D106" s="52">
        <f>396+160+120+144+153+153+63+40+196+220+60+60+60+80</f>
        <v>1905</v>
      </c>
      <c r="E106" s="31"/>
      <c r="F106" s="36"/>
      <c r="G106" s="36"/>
      <c r="H106" s="37"/>
      <c r="I106" s="37"/>
      <c r="J106"/>
      <c r="K106"/>
    </row>
    <row r="107" spans="1:7" ht="12.75">
      <c r="A107" s="67"/>
      <c r="B107" s="67"/>
      <c r="C107" s="67"/>
      <c r="D107" s="25"/>
      <c r="E107" s="25"/>
      <c r="F107" s="23"/>
      <c r="G107" s="23"/>
    </row>
    <row r="108" spans="1:7" ht="12.75">
      <c r="A108" s="67"/>
      <c r="B108" s="67" t="s">
        <v>124</v>
      </c>
      <c r="C108" s="162" t="s">
        <v>176</v>
      </c>
      <c r="D108" s="163"/>
      <c r="E108" s="163"/>
      <c r="F108" s="23"/>
      <c r="G108" s="23"/>
    </row>
    <row r="109" spans="1:7" ht="12.75">
      <c r="A109" s="67"/>
      <c r="B109" s="67"/>
      <c r="C109" s="67"/>
      <c r="D109" s="25"/>
      <c r="E109" s="25"/>
      <c r="F109" s="23"/>
      <c r="G109" s="23"/>
    </row>
    <row r="110" spans="2:7" ht="12.75">
      <c r="B110" s="95" t="s">
        <v>194</v>
      </c>
      <c r="C110" s="24" t="s">
        <v>206</v>
      </c>
      <c r="D110" s="23"/>
      <c r="E110" s="23"/>
      <c r="F110" s="23"/>
      <c r="G110" s="23"/>
    </row>
  </sheetData>
  <mergeCells count="34">
    <mergeCell ref="A7:I7"/>
    <mergeCell ref="A8:I8"/>
    <mergeCell ref="A10:I10"/>
    <mergeCell ref="E2:I2"/>
    <mergeCell ref="E3:I3"/>
    <mergeCell ref="E4:I4"/>
    <mergeCell ref="E5:I5"/>
    <mergeCell ref="G12:G13"/>
    <mergeCell ref="H12:H13"/>
    <mergeCell ref="I12:I13"/>
    <mergeCell ref="A12:A13"/>
    <mergeCell ref="B12:B13"/>
    <mergeCell ref="C12:C13"/>
    <mergeCell ref="D12:E12"/>
    <mergeCell ref="A41:D41"/>
    <mergeCell ref="B65:D65"/>
    <mergeCell ref="B67:D67"/>
    <mergeCell ref="F12:F13"/>
    <mergeCell ref="B15:E15"/>
    <mergeCell ref="B25:D25"/>
    <mergeCell ref="B28:D28"/>
    <mergeCell ref="A40:D40"/>
    <mergeCell ref="A75:D75"/>
    <mergeCell ref="A91:D91"/>
    <mergeCell ref="A101:D101"/>
    <mergeCell ref="A103:E103"/>
    <mergeCell ref="A84:D84"/>
    <mergeCell ref="A85:D85"/>
    <mergeCell ref="A90:D90"/>
    <mergeCell ref="C108:E108"/>
    <mergeCell ref="A102:D102"/>
    <mergeCell ref="A92:A94"/>
    <mergeCell ref="A95:A97"/>
    <mergeCell ref="A98:A100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K110"/>
  <sheetViews>
    <sheetView workbookViewId="0" topLeftCell="A28">
      <selection activeCell="A92" sqref="A92:I101"/>
    </sheetView>
  </sheetViews>
  <sheetFormatPr defaultColWidth="9.00390625" defaultRowHeight="12.75"/>
  <cols>
    <col min="1" max="1" width="5.00390625" style="24" customWidth="1"/>
    <col min="2" max="2" width="59.375" style="24" customWidth="1"/>
    <col min="3" max="3" width="24.125" style="24" customWidth="1"/>
    <col min="4" max="5" width="9.125" style="24" customWidth="1"/>
    <col min="6" max="6" width="7.75390625" style="24" customWidth="1"/>
    <col min="7" max="7" width="8.00390625" style="24" customWidth="1"/>
    <col min="8" max="9" width="7.75390625" style="24" customWidth="1"/>
    <col min="10" max="16384" width="9.125" style="24" customWidth="1"/>
  </cols>
  <sheetData>
    <row r="1" spans="1:5" ht="12.75">
      <c r="A1"/>
      <c r="B1"/>
      <c r="C1"/>
      <c r="D1"/>
      <c r="E1"/>
    </row>
    <row r="2" spans="2:9" ht="12.75">
      <c r="B2" s="107" t="s">
        <v>210</v>
      </c>
      <c r="E2" s="173" t="s">
        <v>159</v>
      </c>
      <c r="F2" s="173"/>
      <c r="G2" s="173"/>
      <c r="H2" s="173"/>
      <c r="I2" s="173"/>
    </row>
    <row r="3" spans="2:9" ht="12.75">
      <c r="B3" s="24" t="s">
        <v>204</v>
      </c>
      <c r="E3" s="173" t="s">
        <v>192</v>
      </c>
      <c r="F3" s="173"/>
      <c r="G3" s="173"/>
      <c r="H3" s="173"/>
      <c r="I3" s="173"/>
    </row>
    <row r="4" spans="2:9" ht="12.75">
      <c r="B4" s="24" t="s">
        <v>211</v>
      </c>
      <c r="E4" s="173" t="s">
        <v>160</v>
      </c>
      <c r="F4" s="173"/>
      <c r="G4" s="173"/>
      <c r="H4" s="173"/>
      <c r="I4" s="173"/>
    </row>
    <row r="5" spans="5:9" ht="12.75">
      <c r="E5" s="174" t="s">
        <v>209</v>
      </c>
      <c r="F5" s="173"/>
      <c r="G5" s="173"/>
      <c r="H5" s="173"/>
      <c r="I5" s="173"/>
    </row>
    <row r="7" spans="1:9" ht="12.75">
      <c r="A7" s="158" t="s">
        <v>125</v>
      </c>
      <c r="B7" s="158"/>
      <c r="C7" s="158"/>
      <c r="D7" s="158"/>
      <c r="E7" s="158"/>
      <c r="F7" s="158"/>
      <c r="G7" s="158"/>
      <c r="H7" s="158"/>
      <c r="I7" s="158"/>
    </row>
    <row r="8" spans="1:9" ht="12.75">
      <c r="A8" s="158" t="s">
        <v>166</v>
      </c>
      <c r="B8" s="158"/>
      <c r="C8" s="158"/>
      <c r="D8" s="158"/>
      <c r="E8" s="158"/>
      <c r="F8" s="158"/>
      <c r="G8" s="158"/>
      <c r="H8" s="158"/>
      <c r="I8" s="158"/>
    </row>
    <row r="9" spans="1:9" ht="12.75">
      <c r="A9" s="70"/>
      <c r="B9" s="2"/>
      <c r="C9" s="2"/>
      <c r="D9" s="2"/>
      <c r="E9" s="2"/>
      <c r="F9" s="75"/>
      <c r="G9" s="2"/>
      <c r="H9" s="2"/>
      <c r="I9" s="2"/>
    </row>
    <row r="10" spans="1:9" ht="12.75">
      <c r="A10" s="160" t="s">
        <v>178</v>
      </c>
      <c r="B10" s="160"/>
      <c r="C10" s="160"/>
      <c r="D10" s="160"/>
      <c r="E10" s="160"/>
      <c r="F10" s="160"/>
      <c r="G10" s="160"/>
      <c r="H10" s="160"/>
      <c r="I10" s="160"/>
    </row>
    <row r="12" spans="1:9" ht="12.75">
      <c r="A12" s="170" t="s">
        <v>0</v>
      </c>
      <c r="B12" s="170" t="s">
        <v>1</v>
      </c>
      <c r="C12" s="170" t="s">
        <v>2</v>
      </c>
      <c r="D12" s="171" t="s">
        <v>3</v>
      </c>
      <c r="E12" s="172"/>
      <c r="F12" s="166" t="s">
        <v>139</v>
      </c>
      <c r="G12" s="166" t="s">
        <v>140</v>
      </c>
      <c r="H12" s="168" t="s">
        <v>141</v>
      </c>
      <c r="I12" s="168" t="s">
        <v>142</v>
      </c>
    </row>
    <row r="13" spans="1:9" ht="38.25">
      <c r="A13" s="170"/>
      <c r="B13" s="170"/>
      <c r="C13" s="170"/>
      <c r="D13" s="50" t="s">
        <v>4</v>
      </c>
      <c r="E13" s="30" t="s">
        <v>5</v>
      </c>
      <c r="F13" s="167"/>
      <c r="G13" s="167"/>
      <c r="H13" s="169"/>
      <c r="I13" s="169"/>
    </row>
    <row r="14" spans="1:9" ht="12.75">
      <c r="A14" s="51" t="s">
        <v>6</v>
      </c>
      <c r="B14" s="51"/>
      <c r="C14" s="39"/>
      <c r="D14" s="52"/>
      <c r="E14" s="31"/>
      <c r="F14" s="36"/>
      <c r="G14" s="36"/>
      <c r="H14" s="37"/>
      <c r="I14" s="37"/>
    </row>
    <row r="15" spans="1:9" ht="12.75">
      <c r="A15" s="53" t="s">
        <v>7</v>
      </c>
      <c r="B15" s="164" t="s">
        <v>8</v>
      </c>
      <c r="C15" s="164"/>
      <c r="D15" s="164"/>
      <c r="E15" s="165"/>
      <c r="F15" s="36"/>
      <c r="G15" s="36"/>
      <c r="H15" s="37"/>
      <c r="I15" s="37"/>
    </row>
    <row r="16" spans="1:11" ht="12.75">
      <c r="A16" s="20" t="s">
        <v>9</v>
      </c>
      <c r="B16" s="20" t="s">
        <v>10</v>
      </c>
      <c r="C16" s="22" t="s">
        <v>11</v>
      </c>
      <c r="D16" s="18">
        <v>3</v>
      </c>
      <c r="E16" s="32">
        <f>D16*0.7</f>
        <v>2.0999999999999996</v>
      </c>
      <c r="F16" s="36"/>
      <c r="G16" s="36">
        <f>E16/2</f>
        <v>1.0499999999999998</v>
      </c>
      <c r="H16" s="36">
        <f>E16-G16</f>
        <v>1.0499999999999998</v>
      </c>
      <c r="I16" s="37"/>
      <c r="J16"/>
      <c r="K16"/>
    </row>
    <row r="17" spans="1:11" ht="12.75">
      <c r="A17" s="20" t="s">
        <v>12</v>
      </c>
      <c r="B17" s="21" t="s">
        <v>13</v>
      </c>
      <c r="C17" s="22" t="s">
        <v>14</v>
      </c>
      <c r="D17" s="18"/>
      <c r="E17" s="32"/>
      <c r="F17" s="36"/>
      <c r="G17" s="36"/>
      <c r="H17" s="36"/>
      <c r="I17" s="37"/>
      <c r="J17"/>
      <c r="K17"/>
    </row>
    <row r="18" spans="1:9" ht="12.75">
      <c r="A18" s="20" t="s">
        <v>15</v>
      </c>
      <c r="B18" s="21" t="s">
        <v>16</v>
      </c>
      <c r="C18" s="22" t="s">
        <v>14</v>
      </c>
      <c r="D18" s="18">
        <f>7.16*2</f>
        <v>14.32</v>
      </c>
      <c r="E18" s="32">
        <f>D18*0.4</f>
        <v>5.728000000000001</v>
      </c>
      <c r="F18" s="36"/>
      <c r="G18" s="36">
        <f>E18/2</f>
        <v>2.8640000000000003</v>
      </c>
      <c r="H18" s="36">
        <f>E18-G18</f>
        <v>2.8640000000000003</v>
      </c>
      <c r="I18" s="37"/>
    </row>
    <row r="19" spans="1:11" ht="25.5">
      <c r="A19" s="20" t="s">
        <v>17</v>
      </c>
      <c r="B19" s="21" t="s">
        <v>18</v>
      </c>
      <c r="C19" s="22" t="s">
        <v>14</v>
      </c>
      <c r="D19" s="18">
        <v>14.32</v>
      </c>
      <c r="E19" s="32">
        <f>D19*0.4</f>
        <v>5.728000000000001</v>
      </c>
      <c r="F19" s="36"/>
      <c r="G19" s="36">
        <f>E19/2</f>
        <v>2.8640000000000003</v>
      </c>
      <c r="H19" s="36">
        <f>E19-G19</f>
        <v>2.8640000000000003</v>
      </c>
      <c r="I19" s="37"/>
      <c r="J19"/>
      <c r="K19"/>
    </row>
    <row r="20" spans="1:11" ht="25.5">
      <c r="A20" s="20" t="s">
        <v>19</v>
      </c>
      <c r="B20" s="21" t="s">
        <v>20</v>
      </c>
      <c r="C20" s="22" t="s">
        <v>14</v>
      </c>
      <c r="D20" s="18">
        <v>14.32</v>
      </c>
      <c r="E20" s="32">
        <f>D20*0.3</f>
        <v>4.296</v>
      </c>
      <c r="F20" s="36"/>
      <c r="G20" s="36">
        <f>E20/2</f>
        <v>2.148</v>
      </c>
      <c r="H20" s="36">
        <f>E20-G20</f>
        <v>2.148</v>
      </c>
      <c r="I20" s="37"/>
      <c r="J20"/>
      <c r="K20"/>
    </row>
    <row r="21" spans="1:11" ht="12.75">
      <c r="A21" s="20" t="s">
        <v>21</v>
      </c>
      <c r="B21" s="21" t="s">
        <v>22</v>
      </c>
      <c r="C21" s="22" t="s">
        <v>14</v>
      </c>
      <c r="D21" s="18">
        <v>14.32</v>
      </c>
      <c r="E21" s="32">
        <f>D21*0.4</f>
        <v>5.728000000000001</v>
      </c>
      <c r="F21" s="36"/>
      <c r="G21" s="36">
        <f>E21/2</f>
        <v>2.8640000000000003</v>
      </c>
      <c r="H21" s="36">
        <f>E21-G21</f>
        <v>2.8640000000000003</v>
      </c>
      <c r="I21" s="37"/>
      <c r="J21"/>
      <c r="K21"/>
    </row>
    <row r="22" spans="1:11" ht="12.75">
      <c r="A22" s="20" t="s">
        <v>23</v>
      </c>
      <c r="B22" s="20" t="s">
        <v>24</v>
      </c>
      <c r="C22" s="22" t="s">
        <v>25</v>
      </c>
      <c r="D22" s="18"/>
      <c r="E22" s="32"/>
      <c r="F22" s="36"/>
      <c r="G22" s="36"/>
      <c r="H22" s="37"/>
      <c r="I22" s="37"/>
      <c r="J22"/>
      <c r="K22"/>
    </row>
    <row r="23" spans="1:11" ht="25.5">
      <c r="A23" s="20" t="s">
        <v>26</v>
      </c>
      <c r="B23" s="21" t="s">
        <v>27</v>
      </c>
      <c r="C23" s="22" t="s">
        <v>25</v>
      </c>
      <c r="D23" s="18"/>
      <c r="E23" s="32"/>
      <c r="F23" s="36"/>
      <c r="G23" s="36"/>
      <c r="H23" s="37"/>
      <c r="I23" s="37"/>
      <c r="J23"/>
      <c r="K23"/>
    </row>
    <row r="24" spans="1:11" ht="25.5">
      <c r="A24" s="20" t="s">
        <v>28</v>
      </c>
      <c r="B24" s="21" t="s">
        <v>29</v>
      </c>
      <c r="C24" s="22" t="s">
        <v>30</v>
      </c>
      <c r="D24" s="18"/>
      <c r="E24" s="32"/>
      <c r="F24" s="36"/>
      <c r="G24" s="36"/>
      <c r="H24" s="37"/>
      <c r="I24" s="37"/>
      <c r="J24"/>
      <c r="K24"/>
    </row>
    <row r="25" spans="1:11" ht="12.75">
      <c r="A25" s="20" t="s">
        <v>31</v>
      </c>
      <c r="B25" s="137" t="s">
        <v>32</v>
      </c>
      <c r="C25" s="138"/>
      <c r="D25" s="138"/>
      <c r="E25" s="26"/>
      <c r="F25" s="36"/>
      <c r="G25" s="36"/>
      <c r="H25" s="37"/>
      <c r="I25" s="37"/>
      <c r="J25"/>
      <c r="K25"/>
    </row>
    <row r="26" spans="1:11" ht="12.75">
      <c r="A26" s="20" t="s">
        <v>33</v>
      </c>
      <c r="B26" s="21" t="s">
        <v>34</v>
      </c>
      <c r="C26" s="54" t="s">
        <v>35</v>
      </c>
      <c r="D26" s="18"/>
      <c r="E26" s="32"/>
      <c r="F26" s="36"/>
      <c r="G26" s="36"/>
      <c r="H26" s="37"/>
      <c r="I26" s="37"/>
      <c r="J26"/>
      <c r="K26"/>
    </row>
    <row r="27" spans="1:11" ht="12.75">
      <c r="A27" s="20" t="s">
        <v>36</v>
      </c>
      <c r="B27" s="20" t="s">
        <v>37</v>
      </c>
      <c r="C27" s="54" t="s">
        <v>38</v>
      </c>
      <c r="D27" s="18"/>
      <c r="E27" s="32"/>
      <c r="F27" s="36"/>
      <c r="G27" s="36"/>
      <c r="H27" s="37"/>
      <c r="I27" s="37"/>
      <c r="J27"/>
      <c r="K27"/>
    </row>
    <row r="28" spans="1:11" ht="12.75">
      <c r="A28" s="20" t="s">
        <v>39</v>
      </c>
      <c r="B28" s="137" t="s">
        <v>32</v>
      </c>
      <c r="C28" s="138"/>
      <c r="D28" s="138"/>
      <c r="E28" s="26"/>
      <c r="F28" s="36"/>
      <c r="G28" s="36"/>
      <c r="H28" s="37"/>
      <c r="I28" s="37"/>
      <c r="J28"/>
      <c r="K28"/>
    </row>
    <row r="29" spans="1:11" ht="12.75">
      <c r="A29" s="20" t="s">
        <v>40</v>
      </c>
      <c r="B29" s="46" t="s">
        <v>138</v>
      </c>
      <c r="C29" s="54" t="s">
        <v>38</v>
      </c>
      <c r="D29" s="18">
        <v>5</v>
      </c>
      <c r="E29" s="32">
        <f>D29*0.1</f>
        <v>0.5</v>
      </c>
      <c r="F29" s="36">
        <v>0.25</v>
      </c>
      <c r="G29" s="36"/>
      <c r="H29" s="37">
        <v>0.25</v>
      </c>
      <c r="I29" s="37"/>
      <c r="J29"/>
      <c r="K29"/>
    </row>
    <row r="30" spans="1:11" ht="12.75">
      <c r="A30" s="20" t="s">
        <v>41</v>
      </c>
      <c r="B30" s="20" t="s">
        <v>42</v>
      </c>
      <c r="C30" s="54"/>
      <c r="D30" s="18"/>
      <c r="E30" s="32"/>
      <c r="F30" s="36"/>
      <c r="G30" s="36"/>
      <c r="H30" s="37"/>
      <c r="I30" s="37"/>
      <c r="J30"/>
      <c r="K30"/>
    </row>
    <row r="31" spans="1:11" ht="12.75">
      <c r="A31" s="20"/>
      <c r="B31" s="20" t="s">
        <v>43</v>
      </c>
      <c r="C31" s="54" t="s">
        <v>44</v>
      </c>
      <c r="D31" s="18">
        <v>10</v>
      </c>
      <c r="E31" s="32">
        <f>D31*0.05</f>
        <v>0.5</v>
      </c>
      <c r="F31" s="36">
        <v>0.25</v>
      </c>
      <c r="G31" s="36"/>
      <c r="H31" s="37">
        <v>0.25</v>
      </c>
      <c r="I31" s="37"/>
      <c r="J31"/>
      <c r="K31"/>
    </row>
    <row r="32" spans="1:11" ht="12.75">
      <c r="A32" s="20"/>
      <c r="B32" s="20" t="s">
        <v>45</v>
      </c>
      <c r="C32" s="54" t="s">
        <v>46</v>
      </c>
      <c r="D32" s="18"/>
      <c r="E32" s="32"/>
      <c r="F32" s="36"/>
      <c r="G32" s="36"/>
      <c r="H32" s="37"/>
      <c r="I32" s="37"/>
      <c r="J32"/>
      <c r="K32"/>
    </row>
    <row r="33" spans="1:11" ht="12.75">
      <c r="A33" s="20" t="s">
        <v>47</v>
      </c>
      <c r="B33" s="20" t="s">
        <v>48</v>
      </c>
      <c r="C33" s="54"/>
      <c r="D33" s="18"/>
      <c r="E33" s="32"/>
      <c r="F33" s="36"/>
      <c r="G33" s="36"/>
      <c r="H33" s="37"/>
      <c r="I33" s="37"/>
      <c r="J33"/>
      <c r="K33"/>
    </row>
    <row r="34" spans="1:11" ht="12.75">
      <c r="A34" s="20"/>
      <c r="B34" s="20" t="s">
        <v>49</v>
      </c>
      <c r="C34" s="54" t="s">
        <v>50</v>
      </c>
      <c r="D34" s="18"/>
      <c r="E34" s="32"/>
      <c r="F34" s="36"/>
      <c r="G34" s="36"/>
      <c r="H34" s="37"/>
      <c r="I34" s="37"/>
      <c r="J34"/>
      <c r="K34"/>
    </row>
    <row r="35" spans="1:11" ht="12.75">
      <c r="A35" s="20"/>
      <c r="B35" s="20" t="s">
        <v>51</v>
      </c>
      <c r="C35" s="54" t="s">
        <v>50</v>
      </c>
      <c r="D35" s="18"/>
      <c r="E35" s="32"/>
      <c r="F35" s="36"/>
      <c r="G35" s="36"/>
      <c r="H35" s="37"/>
      <c r="I35" s="37"/>
      <c r="J35"/>
      <c r="K35"/>
    </row>
    <row r="36" spans="1:11" ht="12.75">
      <c r="A36" s="20" t="s">
        <v>52</v>
      </c>
      <c r="B36" s="20" t="s">
        <v>53</v>
      </c>
      <c r="C36" s="54" t="s">
        <v>54</v>
      </c>
      <c r="D36" s="18">
        <v>1500</v>
      </c>
      <c r="E36" s="32">
        <v>20</v>
      </c>
      <c r="F36" s="36">
        <v>5</v>
      </c>
      <c r="G36" s="36">
        <v>5</v>
      </c>
      <c r="H36" s="37">
        <v>5</v>
      </c>
      <c r="I36" s="37">
        <v>5</v>
      </c>
      <c r="J36"/>
      <c r="K36"/>
    </row>
    <row r="37" spans="1:11" ht="12.75">
      <c r="A37" s="20" t="s">
        <v>99</v>
      </c>
      <c r="B37" s="20" t="s">
        <v>129</v>
      </c>
      <c r="C37" s="54" t="s">
        <v>130</v>
      </c>
      <c r="D37" s="18">
        <v>10</v>
      </c>
      <c r="E37" s="32">
        <f>D37*0.7</f>
        <v>7</v>
      </c>
      <c r="F37" s="36">
        <v>7</v>
      </c>
      <c r="G37" s="36"/>
      <c r="H37" s="37"/>
      <c r="I37" s="37"/>
      <c r="J37"/>
      <c r="K37"/>
    </row>
    <row r="38" spans="1:11" ht="12.75">
      <c r="A38" s="20" t="s">
        <v>102</v>
      </c>
      <c r="B38" s="20" t="s">
        <v>131</v>
      </c>
      <c r="C38" s="54" t="s">
        <v>132</v>
      </c>
      <c r="D38" s="18">
        <v>0</v>
      </c>
      <c r="E38" s="32">
        <v>0</v>
      </c>
      <c r="F38" s="36"/>
      <c r="G38" s="36"/>
      <c r="H38" s="37"/>
      <c r="I38" s="37"/>
      <c r="J38"/>
      <c r="K38"/>
    </row>
    <row r="39" spans="1:11" ht="12.75">
      <c r="A39" s="55" t="s">
        <v>103</v>
      </c>
      <c r="B39" s="21" t="s">
        <v>133</v>
      </c>
      <c r="C39" s="22" t="s">
        <v>61</v>
      </c>
      <c r="D39" s="18">
        <v>80</v>
      </c>
      <c r="E39" s="32">
        <f>D39*15*12/1000</f>
        <v>14.4</v>
      </c>
      <c r="F39" s="36">
        <f>E39/4</f>
        <v>3.6</v>
      </c>
      <c r="G39" s="36">
        <v>3.6</v>
      </c>
      <c r="H39" s="37">
        <v>3.6</v>
      </c>
      <c r="I39" s="37">
        <v>3.6</v>
      </c>
      <c r="J39"/>
      <c r="K39"/>
    </row>
    <row r="40" spans="1:11" ht="12.75">
      <c r="A40" s="142" t="s">
        <v>145</v>
      </c>
      <c r="B40" s="140"/>
      <c r="C40" s="140"/>
      <c r="D40" s="141"/>
      <c r="E40" s="40">
        <f>SUM(E16:E39)</f>
        <v>65.98</v>
      </c>
      <c r="F40" s="41">
        <f>SUM(F16:F39)</f>
        <v>16.1</v>
      </c>
      <c r="G40" s="41">
        <f>SUM(G16:G39)</f>
        <v>20.39</v>
      </c>
      <c r="H40" s="42">
        <f>SUM(H16:H39)</f>
        <v>20.89</v>
      </c>
      <c r="I40" s="42">
        <f>SUM(I16:I39)</f>
        <v>8.6</v>
      </c>
      <c r="J40" s="71">
        <f>F40+G40+H40+I40</f>
        <v>65.98</v>
      </c>
      <c r="K40" s="43"/>
    </row>
    <row r="41" spans="1:9" ht="12.75">
      <c r="A41" s="147" t="s">
        <v>55</v>
      </c>
      <c r="B41" s="148"/>
      <c r="C41" s="148"/>
      <c r="D41" s="149"/>
      <c r="E41" s="39"/>
      <c r="F41" s="36"/>
      <c r="G41" s="36"/>
      <c r="H41" s="37"/>
      <c r="I41" s="37"/>
    </row>
    <row r="42" spans="1:9" ht="12.75">
      <c r="A42" s="53" t="s">
        <v>7</v>
      </c>
      <c r="B42" s="56" t="s">
        <v>8</v>
      </c>
      <c r="C42" s="20"/>
      <c r="D42" s="18"/>
      <c r="E42" s="32"/>
      <c r="F42" s="36"/>
      <c r="G42" s="36"/>
      <c r="H42" s="37"/>
      <c r="I42" s="37"/>
    </row>
    <row r="43" spans="1:9" ht="12.75">
      <c r="A43" s="20" t="s">
        <v>9</v>
      </c>
      <c r="B43" s="20" t="s">
        <v>56</v>
      </c>
      <c r="C43" s="20"/>
      <c r="D43" s="18"/>
      <c r="E43" s="32"/>
      <c r="F43" s="36"/>
      <c r="G43" s="36"/>
      <c r="H43" s="37"/>
      <c r="I43" s="37"/>
    </row>
    <row r="44" spans="1:9" ht="12.75">
      <c r="A44" s="20"/>
      <c r="B44" s="20" t="s">
        <v>57</v>
      </c>
      <c r="C44" s="22" t="s">
        <v>14</v>
      </c>
      <c r="D44" s="18">
        <v>5.2</v>
      </c>
      <c r="E44" s="32">
        <f>D44*1.1</f>
        <v>5.720000000000001</v>
      </c>
      <c r="F44" s="36">
        <f>E44/4</f>
        <v>1.4300000000000002</v>
      </c>
      <c r="G44" s="36">
        <v>1.43</v>
      </c>
      <c r="H44" s="37">
        <v>1.43</v>
      </c>
      <c r="I44" s="36">
        <f>E44-F44-G44-H44</f>
        <v>1.4300000000000013</v>
      </c>
    </row>
    <row r="45" spans="1:9" ht="25.5">
      <c r="A45" s="20"/>
      <c r="B45" s="20" t="s">
        <v>58</v>
      </c>
      <c r="C45" s="22" t="s">
        <v>59</v>
      </c>
      <c r="D45" s="18">
        <v>1.5</v>
      </c>
      <c r="E45" s="32">
        <f>D45*0.4</f>
        <v>0.6000000000000001</v>
      </c>
      <c r="F45" s="36">
        <f>E45/4</f>
        <v>0.15000000000000002</v>
      </c>
      <c r="G45" s="36">
        <v>0.15</v>
      </c>
      <c r="H45" s="37">
        <v>0.15</v>
      </c>
      <c r="I45" s="36">
        <f>E45-F45-G45-H45</f>
        <v>0.15000000000000005</v>
      </c>
    </row>
    <row r="46" spans="1:9" ht="12.75">
      <c r="A46" s="20" t="s">
        <v>12</v>
      </c>
      <c r="B46" s="21" t="s">
        <v>60</v>
      </c>
      <c r="C46" s="22" t="s">
        <v>61</v>
      </c>
      <c r="D46" s="18">
        <v>5.2</v>
      </c>
      <c r="E46" s="32">
        <f>0.1*D46</f>
        <v>0.52</v>
      </c>
      <c r="F46" s="36">
        <f>E46/4</f>
        <v>0.13</v>
      </c>
      <c r="G46" s="36">
        <v>0.13</v>
      </c>
      <c r="H46" s="37">
        <v>0.13</v>
      </c>
      <c r="I46" s="36">
        <f>E46-F46-G46-H46</f>
        <v>0.13</v>
      </c>
    </row>
    <row r="47" spans="1:9" ht="25.5">
      <c r="A47" s="20" t="s">
        <v>15</v>
      </c>
      <c r="B47" s="21" t="s">
        <v>62</v>
      </c>
      <c r="C47" s="22"/>
      <c r="D47" s="18"/>
      <c r="E47" s="32"/>
      <c r="F47" s="36"/>
      <c r="G47" s="36"/>
      <c r="H47" s="37"/>
      <c r="I47" s="36"/>
    </row>
    <row r="48" spans="1:11" ht="12.75">
      <c r="A48" s="20"/>
      <c r="B48" s="20" t="s">
        <v>57</v>
      </c>
      <c r="C48" s="22" t="s">
        <v>14</v>
      </c>
      <c r="D48" s="18">
        <v>5.2</v>
      </c>
      <c r="E48" s="32">
        <f>D48*0.9</f>
        <v>4.680000000000001</v>
      </c>
      <c r="F48" s="36">
        <f>E48/4</f>
        <v>1.1700000000000002</v>
      </c>
      <c r="G48" s="36">
        <v>1.17</v>
      </c>
      <c r="H48" s="37">
        <v>1.17</v>
      </c>
      <c r="I48" s="36">
        <f>E48-F48-G48-H48</f>
        <v>1.1700000000000008</v>
      </c>
      <c r="J48"/>
      <c r="K48"/>
    </row>
    <row r="49" spans="1:9" ht="12.75">
      <c r="A49" s="20"/>
      <c r="B49" s="20" t="s">
        <v>63</v>
      </c>
      <c r="C49" s="22" t="s">
        <v>136</v>
      </c>
      <c r="D49" s="18">
        <v>30</v>
      </c>
      <c r="E49" s="32">
        <f>D49*0.01</f>
        <v>0.3</v>
      </c>
      <c r="F49" s="36">
        <f>E49/4</f>
        <v>0.075</v>
      </c>
      <c r="G49" s="36">
        <v>0.08</v>
      </c>
      <c r="H49" s="37">
        <v>0.08</v>
      </c>
      <c r="I49" s="36">
        <f>E49-F49-G49-H49</f>
        <v>0.06499999999999996</v>
      </c>
    </row>
    <row r="50" spans="1:9" ht="12.75">
      <c r="A50" s="20"/>
      <c r="B50" s="57" t="s">
        <v>158</v>
      </c>
      <c r="C50" s="22" t="s">
        <v>64</v>
      </c>
      <c r="D50" s="18"/>
      <c r="E50" s="32"/>
      <c r="F50" s="36"/>
      <c r="G50" s="36"/>
      <c r="H50" s="37"/>
      <c r="I50" s="36"/>
    </row>
    <row r="51" spans="1:9" ht="12.75">
      <c r="A51" s="20" t="s">
        <v>17</v>
      </c>
      <c r="B51" s="20" t="s">
        <v>65</v>
      </c>
      <c r="C51" s="22" t="s">
        <v>66</v>
      </c>
      <c r="D51" s="18">
        <v>120</v>
      </c>
      <c r="E51" s="32">
        <f>D51*0.025</f>
        <v>3</v>
      </c>
      <c r="F51" s="36">
        <f>E51/4</f>
        <v>0.75</v>
      </c>
      <c r="G51" s="36">
        <v>0.75</v>
      </c>
      <c r="H51" s="37">
        <v>0.75</v>
      </c>
      <c r="I51" s="36">
        <f>E51-F51-G51-H51</f>
        <v>0.75</v>
      </c>
    </row>
    <row r="52" spans="1:9" ht="12.75">
      <c r="A52" s="20" t="s">
        <v>19</v>
      </c>
      <c r="B52" s="20" t="s">
        <v>67</v>
      </c>
      <c r="C52" s="22" t="s">
        <v>68</v>
      </c>
      <c r="D52" s="18">
        <v>50</v>
      </c>
      <c r="E52" s="32">
        <f>D52*0.04</f>
        <v>2</v>
      </c>
      <c r="F52" s="36">
        <f>E52/4</f>
        <v>0.5</v>
      </c>
      <c r="G52" s="36">
        <v>0.5</v>
      </c>
      <c r="H52" s="37">
        <v>0.5</v>
      </c>
      <c r="I52" s="36">
        <f>E52-F52-G52-H52</f>
        <v>0.5</v>
      </c>
    </row>
    <row r="53" spans="1:9" ht="12.75">
      <c r="A53" s="20" t="s">
        <v>21</v>
      </c>
      <c r="B53" s="20" t="s">
        <v>69</v>
      </c>
      <c r="C53" s="22" t="s">
        <v>87</v>
      </c>
      <c r="D53" s="18">
        <v>220</v>
      </c>
      <c r="E53" s="32">
        <f>D53*0.068</f>
        <v>14.96</v>
      </c>
      <c r="F53" s="36">
        <f>E53/4</f>
        <v>3.74</v>
      </c>
      <c r="G53" s="36">
        <v>3.74</v>
      </c>
      <c r="H53" s="37">
        <v>3.74</v>
      </c>
      <c r="I53" s="36">
        <f>E53-F53-G53-H53</f>
        <v>3.74</v>
      </c>
    </row>
    <row r="54" spans="1:9" ht="25.5">
      <c r="A54" s="46" t="s">
        <v>23</v>
      </c>
      <c r="B54" s="21" t="s">
        <v>71</v>
      </c>
      <c r="C54" s="22" t="s">
        <v>72</v>
      </c>
      <c r="D54" s="18">
        <v>50</v>
      </c>
      <c r="E54" s="32">
        <f>D54*0.05</f>
        <v>2.5</v>
      </c>
      <c r="F54" s="36">
        <f>E54/4</f>
        <v>0.625</v>
      </c>
      <c r="G54" s="36">
        <v>0.63</v>
      </c>
      <c r="H54" s="37">
        <v>0.63</v>
      </c>
      <c r="I54" s="36">
        <f>E54-F54-G54-H54</f>
        <v>0.6150000000000001</v>
      </c>
    </row>
    <row r="55" spans="1:9" ht="12.75">
      <c r="A55" s="20" t="s">
        <v>73</v>
      </c>
      <c r="B55" s="20" t="s">
        <v>74</v>
      </c>
      <c r="C55" s="22" t="s">
        <v>75</v>
      </c>
      <c r="D55" s="18">
        <v>0</v>
      </c>
      <c r="E55" s="32">
        <f>D55*0.1</f>
        <v>0</v>
      </c>
      <c r="F55" s="36"/>
      <c r="G55" s="36"/>
      <c r="H55" s="37"/>
      <c r="I55" s="36"/>
    </row>
    <row r="56" spans="1:9" ht="25.5">
      <c r="A56" s="20" t="s">
        <v>26</v>
      </c>
      <c r="B56" s="21" t="s">
        <v>77</v>
      </c>
      <c r="C56" s="22" t="s">
        <v>68</v>
      </c>
      <c r="D56" s="18">
        <v>50</v>
      </c>
      <c r="E56" s="32">
        <f>D56*0.032</f>
        <v>1.6</v>
      </c>
      <c r="F56" s="36">
        <f>E56/4</f>
        <v>0.4</v>
      </c>
      <c r="G56" s="36">
        <v>0.4</v>
      </c>
      <c r="H56" s="37">
        <v>0.4</v>
      </c>
      <c r="I56" s="36">
        <f>E56-F56-G56-H56</f>
        <v>0.40000000000000013</v>
      </c>
    </row>
    <row r="57" spans="1:9" ht="25.5">
      <c r="A57" s="20" t="s">
        <v>28</v>
      </c>
      <c r="B57" s="21" t="s">
        <v>79</v>
      </c>
      <c r="C57" s="22" t="s">
        <v>80</v>
      </c>
      <c r="D57" s="18"/>
      <c r="E57" s="32"/>
      <c r="F57" s="36"/>
      <c r="G57" s="36"/>
      <c r="H57" s="37"/>
      <c r="I57" s="36"/>
    </row>
    <row r="58" spans="1:9" ht="12.75">
      <c r="A58" s="20" t="s">
        <v>70</v>
      </c>
      <c r="B58" s="21" t="s">
        <v>82</v>
      </c>
      <c r="C58" s="22" t="s">
        <v>83</v>
      </c>
      <c r="D58" s="18">
        <v>100</v>
      </c>
      <c r="E58" s="32">
        <f>D58*0.02</f>
        <v>2</v>
      </c>
      <c r="F58" s="36">
        <f aca="true" t="shared" si="0" ref="F58:F64">E58/4</f>
        <v>0.5</v>
      </c>
      <c r="G58" s="36">
        <v>0.5</v>
      </c>
      <c r="H58" s="37">
        <v>0.5</v>
      </c>
      <c r="I58" s="36">
        <f>E58-F58-G58-H58</f>
        <v>0.5</v>
      </c>
    </row>
    <row r="59" spans="1:9" ht="12.75">
      <c r="A59" s="20" t="s">
        <v>73</v>
      </c>
      <c r="B59" s="21" t="s">
        <v>154</v>
      </c>
      <c r="C59" s="22" t="s">
        <v>144</v>
      </c>
      <c r="D59" s="18">
        <v>0</v>
      </c>
      <c r="E59" s="32">
        <f>D59*0.128</f>
        <v>0</v>
      </c>
      <c r="F59" s="36">
        <f t="shared" si="0"/>
        <v>0</v>
      </c>
      <c r="G59" s="36"/>
      <c r="H59" s="37"/>
      <c r="I59" s="36"/>
    </row>
    <row r="60" spans="1:9" ht="12.75">
      <c r="A60" s="20" t="s">
        <v>76</v>
      </c>
      <c r="B60" s="21" t="s">
        <v>155</v>
      </c>
      <c r="C60" s="22" t="s">
        <v>144</v>
      </c>
      <c r="D60" s="18">
        <v>0</v>
      </c>
      <c r="E60" s="32">
        <f>D60*0.152</f>
        <v>0</v>
      </c>
      <c r="F60" s="36">
        <f t="shared" si="0"/>
        <v>0</v>
      </c>
      <c r="G60" s="36"/>
      <c r="H60" s="37"/>
      <c r="I60" s="36"/>
    </row>
    <row r="61" spans="1:9" ht="12.75">
      <c r="A61" s="46" t="s">
        <v>78</v>
      </c>
      <c r="B61" s="21" t="s">
        <v>84</v>
      </c>
      <c r="C61" s="22" t="s">
        <v>85</v>
      </c>
      <c r="D61" s="18">
        <v>8</v>
      </c>
      <c r="E61" s="32">
        <f>D61*0.1</f>
        <v>0.8</v>
      </c>
      <c r="F61" s="36">
        <f t="shared" si="0"/>
        <v>0.2</v>
      </c>
      <c r="G61" s="36">
        <v>0.2</v>
      </c>
      <c r="H61" s="37">
        <v>0.2</v>
      </c>
      <c r="I61" s="36">
        <f>E61-F61-G61-H61</f>
        <v>0.20000000000000007</v>
      </c>
    </row>
    <row r="62" spans="1:9" ht="12.75">
      <c r="A62" s="46" t="s">
        <v>81</v>
      </c>
      <c r="B62" s="21" t="s">
        <v>86</v>
      </c>
      <c r="C62" s="22" t="s">
        <v>87</v>
      </c>
      <c r="D62" s="18">
        <v>30</v>
      </c>
      <c r="E62" s="32">
        <f>D62*0.03</f>
        <v>0.8999999999999999</v>
      </c>
      <c r="F62" s="36">
        <f t="shared" si="0"/>
        <v>0.22499999999999998</v>
      </c>
      <c r="G62" s="36">
        <v>0.23</v>
      </c>
      <c r="H62" s="37">
        <v>0.23</v>
      </c>
      <c r="I62" s="36">
        <f>E62-F62-G62-H62</f>
        <v>0.21499999999999994</v>
      </c>
    </row>
    <row r="63" spans="1:9" ht="12.75">
      <c r="A63" s="46" t="s">
        <v>156</v>
      </c>
      <c r="B63" s="21" t="s">
        <v>88</v>
      </c>
      <c r="C63" s="22" t="s">
        <v>89</v>
      </c>
      <c r="D63" s="18">
        <v>100</v>
      </c>
      <c r="E63" s="32">
        <f>D63*0.02</f>
        <v>2</v>
      </c>
      <c r="F63" s="36">
        <f t="shared" si="0"/>
        <v>0.5</v>
      </c>
      <c r="G63" s="36">
        <v>0.5</v>
      </c>
      <c r="H63" s="37">
        <v>0.5</v>
      </c>
      <c r="I63" s="36">
        <f>E63-F63-G63-H63</f>
        <v>0.5</v>
      </c>
    </row>
    <row r="64" spans="1:9" ht="12.75">
      <c r="A64" s="46" t="s">
        <v>157</v>
      </c>
      <c r="B64" s="37" t="s">
        <v>143</v>
      </c>
      <c r="C64" s="37" t="s">
        <v>144</v>
      </c>
      <c r="D64" s="37">
        <v>100</v>
      </c>
      <c r="E64" s="37">
        <f>D64*0.15</f>
        <v>15</v>
      </c>
      <c r="F64" s="36">
        <f t="shared" si="0"/>
        <v>3.75</v>
      </c>
      <c r="G64" s="37">
        <v>3.75</v>
      </c>
      <c r="H64" s="37">
        <v>3.75</v>
      </c>
      <c r="I64" s="36">
        <f>E64-F64-G64-H64</f>
        <v>3.75</v>
      </c>
    </row>
    <row r="65" spans="1:9" ht="12.75">
      <c r="A65" s="20" t="s">
        <v>31</v>
      </c>
      <c r="B65" s="137" t="s">
        <v>32</v>
      </c>
      <c r="C65" s="138"/>
      <c r="D65" s="138"/>
      <c r="E65" s="26"/>
      <c r="F65" s="36"/>
      <c r="G65" s="36"/>
      <c r="H65" s="37"/>
      <c r="I65" s="36"/>
    </row>
    <row r="66" spans="1:9" ht="12.75">
      <c r="A66" s="20" t="s">
        <v>33</v>
      </c>
      <c r="B66" s="21" t="s">
        <v>90</v>
      </c>
      <c r="C66" s="22" t="s">
        <v>91</v>
      </c>
      <c r="D66" s="18">
        <v>46.37</v>
      </c>
      <c r="E66" s="32">
        <f>D66*0.2</f>
        <v>9.274</v>
      </c>
      <c r="F66" s="36"/>
      <c r="G66" s="36">
        <v>9.27</v>
      </c>
      <c r="H66" s="37"/>
      <c r="I66" s="36"/>
    </row>
    <row r="67" spans="1:9" ht="12.75">
      <c r="A67" s="20" t="s">
        <v>39</v>
      </c>
      <c r="B67" s="137" t="s">
        <v>32</v>
      </c>
      <c r="C67" s="138"/>
      <c r="D67" s="138"/>
      <c r="E67" s="26"/>
      <c r="F67" s="36"/>
      <c r="G67" s="36"/>
      <c r="H67" s="37"/>
      <c r="I67" s="36"/>
    </row>
    <row r="68" spans="1:9" ht="16.5" customHeight="1">
      <c r="A68" s="20" t="s">
        <v>40</v>
      </c>
      <c r="B68" s="21" t="s">
        <v>92</v>
      </c>
      <c r="C68" s="22" t="s">
        <v>93</v>
      </c>
      <c r="D68" s="18">
        <v>5</v>
      </c>
      <c r="E68" s="32">
        <f>D68*0.3</f>
        <v>1.5</v>
      </c>
      <c r="F68" s="36"/>
      <c r="G68" s="36">
        <v>0.75</v>
      </c>
      <c r="H68" s="37">
        <v>0.75</v>
      </c>
      <c r="I68" s="36"/>
    </row>
    <row r="69" spans="1:9" ht="12.75">
      <c r="A69" s="20" t="s">
        <v>41</v>
      </c>
      <c r="B69" s="21" t="s">
        <v>94</v>
      </c>
      <c r="C69" s="22" t="s">
        <v>95</v>
      </c>
      <c r="D69" s="18"/>
      <c r="E69" s="32"/>
      <c r="F69" s="36"/>
      <c r="G69" s="36"/>
      <c r="H69" s="37"/>
      <c r="I69" s="36"/>
    </row>
    <row r="70" spans="1:9" ht="12.75">
      <c r="A70" s="20" t="s">
        <v>47</v>
      </c>
      <c r="B70" s="21" t="s">
        <v>96</v>
      </c>
      <c r="C70" s="22" t="s">
        <v>97</v>
      </c>
      <c r="D70" s="18">
        <v>488.69</v>
      </c>
      <c r="E70" s="32">
        <f>D70*0.0976</f>
        <v>47.696144000000004</v>
      </c>
      <c r="F70" s="36"/>
      <c r="G70" s="36">
        <v>47.7</v>
      </c>
      <c r="H70" s="37"/>
      <c r="I70" s="36"/>
    </row>
    <row r="71" spans="1:9" ht="12.75">
      <c r="A71" s="20" t="s">
        <v>52</v>
      </c>
      <c r="B71" s="21" t="s">
        <v>98</v>
      </c>
      <c r="C71" s="22" t="s">
        <v>91</v>
      </c>
      <c r="D71" s="18">
        <v>46.37</v>
      </c>
      <c r="E71" s="32">
        <f>D71*0.874</f>
        <v>40.52738</v>
      </c>
      <c r="F71" s="36"/>
      <c r="G71" s="36">
        <v>40.53</v>
      </c>
      <c r="H71" s="37"/>
      <c r="I71" s="36"/>
    </row>
    <row r="72" spans="1:9" ht="12.75">
      <c r="A72" s="20" t="s">
        <v>99</v>
      </c>
      <c r="B72" s="21" t="s">
        <v>100</v>
      </c>
      <c r="C72" s="22" t="s">
        <v>101</v>
      </c>
      <c r="D72" s="18">
        <v>200</v>
      </c>
      <c r="E72" s="32">
        <f>D72*0.1</f>
        <v>20</v>
      </c>
      <c r="F72" s="36">
        <v>5</v>
      </c>
      <c r="G72" s="36"/>
      <c r="H72" s="37">
        <v>7.5</v>
      </c>
      <c r="I72" s="36">
        <v>7.5</v>
      </c>
    </row>
    <row r="73" spans="1:9" ht="12.75">
      <c r="A73" s="20" t="s">
        <v>102</v>
      </c>
      <c r="B73" s="21" t="s">
        <v>134</v>
      </c>
      <c r="C73" s="22" t="s">
        <v>130</v>
      </c>
      <c r="D73" s="18">
        <v>10</v>
      </c>
      <c r="E73" s="32">
        <f>D73*0.85</f>
        <v>8.5</v>
      </c>
      <c r="F73" s="36">
        <f>E73/4</f>
        <v>2.125</v>
      </c>
      <c r="G73" s="36">
        <v>2.13</v>
      </c>
      <c r="H73" s="37">
        <v>2.13</v>
      </c>
      <c r="I73" s="36">
        <f>E73-F73-G73-H73</f>
        <v>2.115</v>
      </c>
    </row>
    <row r="74" spans="1:9" ht="12.75">
      <c r="A74" s="20" t="s">
        <v>103</v>
      </c>
      <c r="B74" s="57" t="s">
        <v>135</v>
      </c>
      <c r="C74" s="58" t="s">
        <v>130</v>
      </c>
      <c r="D74" s="18">
        <v>0</v>
      </c>
      <c r="E74" s="32">
        <v>0</v>
      </c>
      <c r="F74" s="36">
        <v>0</v>
      </c>
      <c r="G74" s="36">
        <v>0</v>
      </c>
      <c r="H74" s="37">
        <v>0</v>
      </c>
      <c r="I74" s="36">
        <v>0</v>
      </c>
    </row>
    <row r="75" spans="1:11" ht="12.75">
      <c r="A75" s="142" t="s">
        <v>146</v>
      </c>
      <c r="B75" s="140"/>
      <c r="C75" s="140"/>
      <c r="D75" s="141"/>
      <c r="E75" s="40">
        <f>SUM(E44:E74)</f>
        <v>184.077524</v>
      </c>
      <c r="F75" s="41">
        <f>SUM(F43:F74)</f>
        <v>21.27</v>
      </c>
      <c r="G75" s="41">
        <f>SUM(G43:G74)</f>
        <v>114.53999999999999</v>
      </c>
      <c r="H75" s="42">
        <f>SUM(H43:H74)</f>
        <v>24.54</v>
      </c>
      <c r="I75" s="41">
        <f>SUM(I43:I74)</f>
        <v>23.730000000000004</v>
      </c>
      <c r="J75" s="72">
        <f>F75+G75+H75+I75</f>
        <v>184.07999999999998</v>
      </c>
      <c r="K75" s="68"/>
    </row>
    <row r="76" spans="1:9" ht="12.75">
      <c r="A76" s="51" t="s">
        <v>104</v>
      </c>
      <c r="B76" s="39"/>
      <c r="C76" s="39"/>
      <c r="D76" s="39"/>
      <c r="E76" s="33"/>
      <c r="F76" s="36"/>
      <c r="G76" s="36"/>
      <c r="H76" s="37"/>
      <c r="I76" s="37"/>
    </row>
    <row r="77" spans="1:9" ht="12.75">
      <c r="A77" s="53" t="s">
        <v>7</v>
      </c>
      <c r="B77" s="56" t="s">
        <v>105</v>
      </c>
      <c r="C77" s="22"/>
      <c r="D77" s="18"/>
      <c r="E77" s="32"/>
      <c r="F77" s="36"/>
      <c r="G77" s="36"/>
      <c r="H77" s="37"/>
      <c r="I77" s="37"/>
    </row>
    <row r="78" spans="1:9" ht="12.75">
      <c r="A78" s="20" t="s">
        <v>9</v>
      </c>
      <c r="B78" s="20" t="s">
        <v>106</v>
      </c>
      <c r="C78" s="22" t="s">
        <v>107</v>
      </c>
      <c r="D78" s="18">
        <f>3460+3040</f>
        <v>6500</v>
      </c>
      <c r="E78" s="32">
        <v>152.7</v>
      </c>
      <c r="F78" s="36">
        <f>E78/4</f>
        <v>38.175</v>
      </c>
      <c r="G78" s="36">
        <v>38.18</v>
      </c>
      <c r="H78" s="37">
        <v>38.18</v>
      </c>
      <c r="I78" s="37">
        <v>38.18</v>
      </c>
    </row>
    <row r="79" spans="1:11" ht="12.75">
      <c r="A79" s="20" t="s">
        <v>12</v>
      </c>
      <c r="B79" s="21" t="s">
        <v>108</v>
      </c>
      <c r="C79" s="22" t="s">
        <v>109</v>
      </c>
      <c r="D79" s="18">
        <v>1</v>
      </c>
      <c r="E79" s="32">
        <v>20</v>
      </c>
      <c r="F79" s="36"/>
      <c r="G79" s="36">
        <v>10</v>
      </c>
      <c r="H79" s="37">
        <v>10</v>
      </c>
      <c r="I79" s="37"/>
      <c r="K79" s="23"/>
    </row>
    <row r="80" spans="1:9" ht="12.75">
      <c r="A80" s="20" t="s">
        <v>15</v>
      </c>
      <c r="B80" s="21" t="s">
        <v>110</v>
      </c>
      <c r="C80" s="22" t="s">
        <v>107</v>
      </c>
      <c r="D80" s="18">
        <v>3000</v>
      </c>
      <c r="E80" s="32">
        <v>15</v>
      </c>
      <c r="F80" s="36"/>
      <c r="G80" s="36">
        <v>5</v>
      </c>
      <c r="H80" s="37">
        <v>10</v>
      </c>
      <c r="I80" s="37"/>
    </row>
    <row r="81" spans="1:9" ht="12.75">
      <c r="A81" s="20" t="s">
        <v>31</v>
      </c>
      <c r="B81" s="56" t="s">
        <v>111</v>
      </c>
      <c r="C81" s="22"/>
      <c r="D81" s="18"/>
      <c r="E81" s="32"/>
      <c r="F81" s="36"/>
      <c r="G81" s="36"/>
      <c r="H81" s="37"/>
      <c r="I81" s="37"/>
    </row>
    <row r="82" spans="1:9" ht="25.5">
      <c r="A82" s="20"/>
      <c r="B82" s="21" t="s">
        <v>112</v>
      </c>
      <c r="C82" s="22" t="s">
        <v>113</v>
      </c>
      <c r="D82" s="18"/>
      <c r="E82" s="32"/>
      <c r="F82" s="36"/>
      <c r="G82" s="36"/>
      <c r="H82" s="37"/>
      <c r="I82" s="37"/>
    </row>
    <row r="83" spans="1:9" ht="25.5">
      <c r="A83" s="20"/>
      <c r="B83" s="21" t="s">
        <v>114</v>
      </c>
      <c r="C83" s="22" t="s">
        <v>113</v>
      </c>
      <c r="D83" s="18">
        <f>1367/5*3</f>
        <v>820.1999999999999</v>
      </c>
      <c r="E83" s="32">
        <v>40</v>
      </c>
      <c r="F83" s="36">
        <v>10</v>
      </c>
      <c r="G83" s="36">
        <v>10</v>
      </c>
      <c r="H83" s="37">
        <v>10</v>
      </c>
      <c r="I83" s="36">
        <v>10</v>
      </c>
    </row>
    <row r="84" spans="1:11" ht="12.75">
      <c r="A84" s="139" t="s">
        <v>147</v>
      </c>
      <c r="B84" s="140"/>
      <c r="C84" s="140"/>
      <c r="D84" s="141"/>
      <c r="E84" s="40">
        <f>SUM(E78:E83)</f>
        <v>227.7</v>
      </c>
      <c r="F84" s="41">
        <f>SUM(F78:F83)</f>
        <v>48.175</v>
      </c>
      <c r="G84" s="41">
        <f>SUM(G78:G83)</f>
        <v>63.18</v>
      </c>
      <c r="H84" s="42">
        <f>SUM(H78:H83)</f>
        <v>68.18</v>
      </c>
      <c r="I84" s="41">
        <f>SUM(I78:I83)</f>
        <v>48.18</v>
      </c>
      <c r="J84" s="72">
        <f>F84+G84+H84+I84</f>
        <v>227.715</v>
      </c>
      <c r="K84" s="68"/>
    </row>
    <row r="85" spans="1:9" ht="12.75">
      <c r="A85" s="136" t="s">
        <v>115</v>
      </c>
      <c r="B85" s="136"/>
      <c r="C85" s="136"/>
      <c r="D85" s="136"/>
      <c r="E85" s="34"/>
      <c r="F85" s="36"/>
      <c r="G85" s="36"/>
      <c r="H85" s="37"/>
      <c r="I85" s="37"/>
    </row>
    <row r="86" spans="1:9" ht="12.75">
      <c r="A86" s="59">
        <v>1</v>
      </c>
      <c r="B86" s="53" t="s">
        <v>126</v>
      </c>
      <c r="C86" s="60" t="s">
        <v>127</v>
      </c>
      <c r="D86" s="52">
        <v>11594.7</v>
      </c>
      <c r="E86" s="35">
        <f>D86*0.59*12/1000</f>
        <v>82.09047600000001</v>
      </c>
      <c r="F86" s="36">
        <f>E86/4</f>
        <v>20.522619000000002</v>
      </c>
      <c r="G86" s="36">
        <v>20.52</v>
      </c>
      <c r="H86" s="37">
        <v>20.52</v>
      </c>
      <c r="I86" s="36">
        <f>E86-F86-G86-H86</f>
        <v>20.527857000000008</v>
      </c>
    </row>
    <row r="87" spans="1:9" ht="12.75">
      <c r="A87" s="59">
        <v>2</v>
      </c>
      <c r="B87" s="53" t="s">
        <v>116</v>
      </c>
      <c r="C87" s="60" t="s">
        <v>117</v>
      </c>
      <c r="D87" s="52">
        <v>1550</v>
      </c>
      <c r="E87" s="31">
        <f>D87*1.4*2/1000</f>
        <v>4.34</v>
      </c>
      <c r="F87" s="36"/>
      <c r="G87" s="36">
        <f>E87/2</f>
        <v>2.17</v>
      </c>
      <c r="H87" s="37">
        <v>2.17</v>
      </c>
      <c r="I87" s="36"/>
    </row>
    <row r="88" spans="1:9" ht="25.5">
      <c r="A88" s="59">
        <v>3</v>
      </c>
      <c r="B88" s="61" t="s">
        <v>128</v>
      </c>
      <c r="C88" s="60"/>
      <c r="D88" s="52"/>
      <c r="E88" s="35">
        <v>25</v>
      </c>
      <c r="F88" s="36">
        <f>E88/4</f>
        <v>6.25</v>
      </c>
      <c r="G88" s="36">
        <v>6.25</v>
      </c>
      <c r="H88" s="37">
        <v>6.25</v>
      </c>
      <c r="I88" s="36">
        <f>E88-F88-G88-H88</f>
        <v>6.25</v>
      </c>
    </row>
    <row r="89" spans="1:10" ht="12.75">
      <c r="A89" s="59">
        <v>4</v>
      </c>
      <c r="B89" s="63" t="s">
        <v>191</v>
      </c>
      <c r="C89" s="60" t="s">
        <v>127</v>
      </c>
      <c r="D89" s="52">
        <v>11594.7</v>
      </c>
      <c r="E89" s="31">
        <v>110.912</v>
      </c>
      <c r="F89" s="36">
        <f>E89/4</f>
        <v>27.728</v>
      </c>
      <c r="G89" s="36">
        <v>26.34</v>
      </c>
      <c r="H89" s="37">
        <v>26.34</v>
      </c>
      <c r="I89" s="36">
        <f>E89-F89-G89-H89</f>
        <v>30.503999999999994</v>
      </c>
      <c r="J89" s="23"/>
    </row>
    <row r="90" spans="1:11" ht="12.75">
      <c r="A90" s="142" t="s">
        <v>149</v>
      </c>
      <c r="B90" s="140"/>
      <c r="C90" s="140"/>
      <c r="D90" s="141"/>
      <c r="E90" s="40">
        <f>SUM(E86:E89)</f>
        <v>222.34247600000003</v>
      </c>
      <c r="F90" s="41">
        <f>SUM(F86:F89)</f>
        <v>54.500619</v>
      </c>
      <c r="G90" s="41">
        <f>SUM(G86:G89)</f>
        <v>55.28</v>
      </c>
      <c r="H90" s="42">
        <f>SUM(H86:H89)</f>
        <v>55.28</v>
      </c>
      <c r="I90" s="41">
        <f>SUM(I86:I89)</f>
        <v>57.281857</v>
      </c>
      <c r="J90" s="72">
        <f>F90+G90+H90+I90</f>
        <v>222.342476</v>
      </c>
      <c r="K90" s="68"/>
    </row>
    <row r="91" spans="1:11" ht="12.75">
      <c r="A91" s="139" t="s">
        <v>150</v>
      </c>
      <c r="B91" s="140"/>
      <c r="C91" s="140"/>
      <c r="D91" s="141"/>
      <c r="E91" s="40">
        <f>E40+E75+E84+E90</f>
        <v>700.1</v>
      </c>
      <c r="F91" s="41">
        <f>F40+F75+F84+F90</f>
        <v>140.045619</v>
      </c>
      <c r="G91" s="41">
        <f>G40+G75+G84+G90</f>
        <v>253.39000000000001</v>
      </c>
      <c r="H91" s="41">
        <f>H40+H75+H84+H90</f>
        <v>168.89000000000001</v>
      </c>
      <c r="I91" s="41">
        <f>I40+I75+I84+I90</f>
        <v>137.791857</v>
      </c>
      <c r="J91" s="24">
        <v>700.099</v>
      </c>
      <c r="K91" s="23">
        <f>E91-J91</f>
        <v>0.0009999999999763531</v>
      </c>
    </row>
    <row r="92" spans="1:11" ht="25.5">
      <c r="A92" s="150">
        <v>1</v>
      </c>
      <c r="B92" s="63" t="s">
        <v>182</v>
      </c>
      <c r="C92" s="94" t="s">
        <v>107</v>
      </c>
      <c r="D92" s="52">
        <v>11594.7</v>
      </c>
      <c r="E92" s="104">
        <f>(2.32*D92*10/1000)+(4100*5*2/1000)</f>
        <v>309.99704</v>
      </c>
      <c r="F92" s="97">
        <f>E92/4</f>
        <v>77.49926</v>
      </c>
      <c r="G92" s="97">
        <v>77.5</v>
      </c>
      <c r="H92" s="97">
        <v>77.5</v>
      </c>
      <c r="I92" s="97">
        <v>77.5</v>
      </c>
      <c r="K92" s="23"/>
    </row>
    <row r="93" spans="1:11" ht="12.75">
      <c r="A93" s="151"/>
      <c r="B93" s="62" t="s">
        <v>183</v>
      </c>
      <c r="C93" s="66"/>
      <c r="D93" s="52"/>
      <c r="E93" s="104">
        <v>61.3</v>
      </c>
      <c r="F93" s="97">
        <f>E93/4</f>
        <v>15.325</v>
      </c>
      <c r="G93" s="97">
        <v>15.3</v>
      </c>
      <c r="H93" s="97">
        <v>15.3</v>
      </c>
      <c r="I93" s="97">
        <v>15.3</v>
      </c>
      <c r="K93" s="23"/>
    </row>
    <row r="94" spans="1:11" ht="25.5">
      <c r="A94" s="152"/>
      <c r="B94" s="82" t="s">
        <v>184</v>
      </c>
      <c r="C94" s="81"/>
      <c r="D94" s="41"/>
      <c r="E94" s="99">
        <f>SUM(E92:E93)</f>
        <v>371.29704000000004</v>
      </c>
      <c r="F94" s="100">
        <f>SUM(F92:F93)</f>
        <v>92.82426000000001</v>
      </c>
      <c r="G94" s="100">
        <f>SUM(G92:G93)</f>
        <v>92.8</v>
      </c>
      <c r="H94" s="100">
        <f>SUM(H92:H93)</f>
        <v>92.8</v>
      </c>
      <c r="I94" s="100">
        <f>SUM(I92:I93)</f>
        <v>92.8</v>
      </c>
      <c r="J94" s="108">
        <f>F94+G94+H94+I94</f>
        <v>371.22426</v>
      </c>
      <c r="K94" s="23"/>
    </row>
    <row r="95" spans="1:11" ht="25.5">
      <c r="A95" s="150">
        <v>2</v>
      </c>
      <c r="B95" s="62" t="s">
        <v>188</v>
      </c>
      <c r="C95" s="66" t="s">
        <v>107</v>
      </c>
      <c r="D95" s="52">
        <v>11594.7</v>
      </c>
      <c r="E95" s="104">
        <f>D95*1.62*12/1000</f>
        <v>225.400968</v>
      </c>
      <c r="F95" s="97">
        <f>E95/4</f>
        <v>56.350242</v>
      </c>
      <c r="G95" s="97">
        <v>56.4</v>
      </c>
      <c r="H95" s="97">
        <v>56.4</v>
      </c>
      <c r="I95" s="97">
        <v>56.4</v>
      </c>
      <c r="K95" s="23"/>
    </row>
    <row r="96" spans="1:11" ht="12.75">
      <c r="A96" s="151"/>
      <c r="B96" s="62" t="s">
        <v>183</v>
      </c>
      <c r="C96" s="66"/>
      <c r="D96" s="52"/>
      <c r="E96" s="104">
        <v>7</v>
      </c>
      <c r="F96" s="97">
        <f>E96/4</f>
        <v>1.75</v>
      </c>
      <c r="G96" s="97">
        <v>1.7</v>
      </c>
      <c r="H96" s="97">
        <v>1.7</v>
      </c>
      <c r="I96" s="97">
        <v>1.7</v>
      </c>
      <c r="K96" s="23"/>
    </row>
    <row r="97" spans="1:11" ht="12.75">
      <c r="A97" s="152"/>
      <c r="B97" s="82" t="s">
        <v>189</v>
      </c>
      <c r="C97" s="81"/>
      <c r="D97" s="41"/>
      <c r="E97" s="99">
        <f>SUM(E95:E96)</f>
        <v>232.400968</v>
      </c>
      <c r="F97" s="100">
        <f>SUM(F95:F96)</f>
        <v>58.100242</v>
      </c>
      <c r="G97" s="100">
        <f>SUM(G95:G96)</f>
        <v>58.1</v>
      </c>
      <c r="H97" s="100">
        <f>SUM(H95:H96)</f>
        <v>58.1</v>
      </c>
      <c r="I97" s="100">
        <f>SUM(I95:I96)</f>
        <v>58.1</v>
      </c>
      <c r="J97" s="108">
        <f>F97+G97+H97+I97</f>
        <v>232.400242</v>
      </c>
      <c r="K97" s="23"/>
    </row>
    <row r="98" spans="1:11" ht="25.5">
      <c r="A98" s="150">
        <v>3</v>
      </c>
      <c r="B98" s="62" t="s">
        <v>185</v>
      </c>
      <c r="C98" s="60" t="s">
        <v>107</v>
      </c>
      <c r="D98" s="52">
        <v>11594.7</v>
      </c>
      <c r="E98" s="104">
        <f>D98*0.45*12/1000</f>
        <v>62.611380000000004</v>
      </c>
      <c r="F98" s="97">
        <f>E98/4</f>
        <v>15.652845000000001</v>
      </c>
      <c r="G98" s="97">
        <v>15.7</v>
      </c>
      <c r="H98" s="97">
        <v>15.7</v>
      </c>
      <c r="I98" s="97">
        <v>15.7</v>
      </c>
      <c r="K98" s="23"/>
    </row>
    <row r="99" spans="1:11" ht="12.75">
      <c r="A99" s="151"/>
      <c r="B99" s="63" t="s">
        <v>183</v>
      </c>
      <c r="C99" s="60"/>
      <c r="D99" s="52"/>
      <c r="E99" s="104">
        <f>72.587-E98</f>
        <v>9.97562</v>
      </c>
      <c r="F99" s="97">
        <f>E99/4</f>
        <v>2.493905</v>
      </c>
      <c r="G99" s="97">
        <v>2.5</v>
      </c>
      <c r="H99" s="97">
        <v>2.5</v>
      </c>
      <c r="I99" s="97">
        <v>2.5</v>
      </c>
      <c r="K99" s="23"/>
    </row>
    <row r="100" spans="1:11" ht="25.5">
      <c r="A100" s="152"/>
      <c r="B100" s="83" t="s">
        <v>186</v>
      </c>
      <c r="C100" s="84"/>
      <c r="D100" s="41"/>
      <c r="E100" s="99">
        <f>SUM(E98:E99)</f>
        <v>72.587</v>
      </c>
      <c r="F100" s="99">
        <f>SUM(F98:F99)</f>
        <v>18.14675</v>
      </c>
      <c r="G100" s="99">
        <f>SUM(G98:G99)</f>
        <v>18.2</v>
      </c>
      <c r="H100" s="99">
        <f>SUM(H98:H99)</f>
        <v>18.2</v>
      </c>
      <c r="I100" s="100">
        <f>SUM(I98:I99)</f>
        <v>18.2</v>
      </c>
      <c r="J100" s="108">
        <f>F100+G100+H100+I100</f>
        <v>72.74675</v>
      </c>
      <c r="K100" s="23"/>
    </row>
    <row r="101" spans="1:11" ht="12.75">
      <c r="A101" s="126" t="s">
        <v>152</v>
      </c>
      <c r="B101" s="119"/>
      <c r="C101" s="119"/>
      <c r="D101" s="119"/>
      <c r="E101" s="105">
        <f>E94+E97+E100</f>
        <v>676.2850080000001</v>
      </c>
      <c r="F101" s="105">
        <f>F94+F97+F100</f>
        <v>169.07125200000002</v>
      </c>
      <c r="G101" s="105">
        <f>G94+G97+G100</f>
        <v>169.1</v>
      </c>
      <c r="H101" s="105">
        <f>H94+H97+H100</f>
        <v>169.1</v>
      </c>
      <c r="I101" s="105">
        <f>I94+I97+I100</f>
        <v>169.1</v>
      </c>
      <c r="K101" s="23"/>
    </row>
    <row r="102" spans="1:10" ht="15.75">
      <c r="A102" s="145" t="s">
        <v>153</v>
      </c>
      <c r="B102" s="146"/>
      <c r="C102" s="146"/>
      <c r="D102" s="146"/>
      <c r="E102" s="106">
        <f>E91+E101</f>
        <v>1376.3850080000002</v>
      </c>
      <c r="F102" s="106">
        <f>F91+F101</f>
        <v>309.116871</v>
      </c>
      <c r="G102" s="106">
        <f>G91+G101</f>
        <v>422.49</v>
      </c>
      <c r="H102" s="106">
        <f>H91+H101</f>
        <v>337.99</v>
      </c>
      <c r="I102" s="106">
        <f>I91+I101</f>
        <v>306.89185699999996</v>
      </c>
      <c r="J102" s="108">
        <f>F102+G102+H102+I102</f>
        <v>1376.4887279999998</v>
      </c>
    </row>
    <row r="103" spans="1:9" ht="12.75">
      <c r="A103" s="124" t="s">
        <v>118</v>
      </c>
      <c r="B103" s="124"/>
      <c r="C103" s="124"/>
      <c r="D103" s="124"/>
      <c r="E103" s="125"/>
      <c r="F103" s="36"/>
      <c r="G103" s="36"/>
      <c r="H103" s="37"/>
      <c r="I103" s="37"/>
    </row>
    <row r="104" spans="1:9" ht="12.75">
      <c r="A104" s="53" t="s">
        <v>7</v>
      </c>
      <c r="B104" s="53" t="s">
        <v>119</v>
      </c>
      <c r="C104" s="66" t="s">
        <v>120</v>
      </c>
      <c r="D104" s="52">
        <v>110.691</v>
      </c>
      <c r="E104" s="31"/>
      <c r="F104" s="36"/>
      <c r="G104" s="36"/>
      <c r="H104" s="37"/>
      <c r="I104" s="37"/>
    </row>
    <row r="105" spans="1:9" ht="12.75">
      <c r="A105" s="53" t="s">
        <v>31</v>
      </c>
      <c r="B105" s="53" t="s">
        <v>121</v>
      </c>
      <c r="C105" s="66" t="s">
        <v>122</v>
      </c>
      <c r="D105" s="52">
        <f>12+4</f>
        <v>16</v>
      </c>
      <c r="E105" s="31"/>
      <c r="F105" s="36"/>
      <c r="G105" s="36"/>
      <c r="H105" s="37"/>
      <c r="I105" s="37"/>
    </row>
    <row r="106" spans="1:11" ht="12.75">
      <c r="A106" s="53" t="s">
        <v>39</v>
      </c>
      <c r="B106" s="53" t="s">
        <v>123</v>
      </c>
      <c r="C106" s="66" t="s">
        <v>122</v>
      </c>
      <c r="D106" s="52">
        <f>396+160+120+144+153+153+63+40+196+220+60+60+60+80</f>
        <v>1905</v>
      </c>
      <c r="E106" s="31"/>
      <c r="F106" s="36"/>
      <c r="G106" s="36"/>
      <c r="H106" s="37"/>
      <c r="I106" s="37"/>
      <c r="J106"/>
      <c r="K106"/>
    </row>
    <row r="107" spans="1:7" ht="12.75">
      <c r="A107" s="67"/>
      <c r="B107" s="67"/>
      <c r="C107" s="67"/>
      <c r="D107" s="25"/>
      <c r="E107" s="25"/>
      <c r="F107" s="23"/>
      <c r="G107" s="23"/>
    </row>
    <row r="108" spans="1:7" ht="12.75">
      <c r="A108" s="67"/>
      <c r="B108" s="67" t="s">
        <v>124</v>
      </c>
      <c r="C108" s="162" t="s">
        <v>176</v>
      </c>
      <c r="D108" s="163"/>
      <c r="E108" s="163"/>
      <c r="F108" s="23"/>
      <c r="G108" s="23"/>
    </row>
    <row r="109" spans="1:7" ht="12.75">
      <c r="A109" s="67"/>
      <c r="B109" s="67"/>
      <c r="C109" s="67"/>
      <c r="D109" s="25"/>
      <c r="E109" s="25"/>
      <c r="F109" s="23"/>
      <c r="G109" s="23"/>
    </row>
    <row r="110" spans="2:7" ht="12.75">
      <c r="B110" s="95" t="s">
        <v>194</v>
      </c>
      <c r="C110" s="24" t="s">
        <v>212</v>
      </c>
      <c r="D110" s="23"/>
      <c r="E110" s="23"/>
      <c r="F110" s="23"/>
      <c r="G110" s="23"/>
    </row>
  </sheetData>
  <mergeCells count="34">
    <mergeCell ref="A7:I7"/>
    <mergeCell ref="A8:I8"/>
    <mergeCell ref="A10:I10"/>
    <mergeCell ref="E2:I2"/>
    <mergeCell ref="E3:I3"/>
    <mergeCell ref="E4:I4"/>
    <mergeCell ref="E5:I5"/>
    <mergeCell ref="G12:G13"/>
    <mergeCell ref="H12:H13"/>
    <mergeCell ref="I12:I13"/>
    <mergeCell ref="A12:A13"/>
    <mergeCell ref="B12:B13"/>
    <mergeCell ref="C12:C13"/>
    <mergeCell ref="D12:E12"/>
    <mergeCell ref="A41:D41"/>
    <mergeCell ref="B65:D65"/>
    <mergeCell ref="B67:D67"/>
    <mergeCell ref="F12:F13"/>
    <mergeCell ref="B15:E15"/>
    <mergeCell ref="B25:D25"/>
    <mergeCell ref="B28:D28"/>
    <mergeCell ref="A40:D40"/>
    <mergeCell ref="A75:D75"/>
    <mergeCell ref="A91:D91"/>
    <mergeCell ref="A101:D101"/>
    <mergeCell ref="A103:E103"/>
    <mergeCell ref="A84:D84"/>
    <mergeCell ref="A85:D85"/>
    <mergeCell ref="A90:D90"/>
    <mergeCell ref="C108:E108"/>
    <mergeCell ref="A102:D102"/>
    <mergeCell ref="A92:A94"/>
    <mergeCell ref="A95:A97"/>
    <mergeCell ref="A98:A100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K112"/>
  <sheetViews>
    <sheetView workbookViewId="0" topLeftCell="A81">
      <selection activeCell="A94" sqref="A94:I103"/>
    </sheetView>
  </sheetViews>
  <sheetFormatPr defaultColWidth="9.00390625" defaultRowHeight="12.75"/>
  <cols>
    <col min="1" max="1" width="4.375" style="24" customWidth="1"/>
    <col min="2" max="2" width="59.25390625" style="24" customWidth="1"/>
    <col min="3" max="3" width="23.625" style="24" customWidth="1"/>
    <col min="4" max="8" width="9.125" style="24" customWidth="1"/>
    <col min="9" max="9" width="8.75390625" style="24" customWidth="1"/>
    <col min="10" max="16384" width="9.125" style="24" customWidth="1"/>
  </cols>
  <sheetData>
    <row r="1" spans="1:5" ht="12.75">
      <c r="A1"/>
      <c r="B1"/>
      <c r="C1"/>
      <c r="D1"/>
      <c r="E1"/>
    </row>
    <row r="2" spans="2:9" ht="12.75">
      <c r="B2" s="107" t="s">
        <v>207</v>
      </c>
      <c r="E2" s="173" t="s">
        <v>159</v>
      </c>
      <c r="F2" s="173"/>
      <c r="G2" s="173"/>
      <c r="H2" s="173"/>
      <c r="I2" s="173"/>
    </row>
    <row r="3" spans="2:9" ht="12.75">
      <c r="B3" s="113" t="s">
        <v>204</v>
      </c>
      <c r="E3" s="173" t="s">
        <v>192</v>
      </c>
      <c r="F3" s="173"/>
      <c r="G3" s="173"/>
      <c r="H3" s="173"/>
      <c r="I3" s="173"/>
    </row>
    <row r="4" spans="2:9" ht="12.75">
      <c r="B4" s="24" t="s">
        <v>211</v>
      </c>
      <c r="E4" s="173" t="s">
        <v>160</v>
      </c>
      <c r="F4" s="173"/>
      <c r="G4" s="173"/>
      <c r="H4" s="173"/>
      <c r="I4" s="173"/>
    </row>
    <row r="5" spans="5:9" ht="12.75">
      <c r="E5" s="174" t="s">
        <v>193</v>
      </c>
      <c r="F5" s="173"/>
      <c r="G5" s="173"/>
      <c r="H5" s="173"/>
      <c r="I5" s="173"/>
    </row>
    <row r="6" spans="5:9" ht="12.75">
      <c r="E6" s="173"/>
      <c r="F6" s="173"/>
      <c r="G6" s="173"/>
      <c r="H6" s="173"/>
      <c r="I6" s="173"/>
    </row>
    <row r="8" spans="1:9" ht="12.75">
      <c r="A8" s="158" t="s">
        <v>125</v>
      </c>
      <c r="B8" s="158"/>
      <c r="C8" s="158"/>
      <c r="D8" s="158"/>
      <c r="E8" s="158"/>
      <c r="F8" s="158"/>
      <c r="G8" s="158"/>
      <c r="H8" s="158"/>
      <c r="I8" s="158"/>
    </row>
    <row r="9" spans="1:9" ht="12.75">
      <c r="A9" s="158" t="s">
        <v>167</v>
      </c>
      <c r="B9" s="158"/>
      <c r="C9" s="158"/>
      <c r="D9" s="158"/>
      <c r="E9" s="158"/>
      <c r="F9" s="158"/>
      <c r="G9" s="158"/>
      <c r="H9" s="158"/>
      <c r="I9" s="158"/>
    </row>
    <row r="10" spans="1:9" ht="12.75">
      <c r="A10" s="70"/>
      <c r="B10" s="2"/>
      <c r="C10" s="2"/>
      <c r="D10" s="2"/>
      <c r="E10" s="2"/>
      <c r="F10" s="75"/>
      <c r="G10" s="2"/>
      <c r="H10" s="2"/>
      <c r="I10" s="2"/>
    </row>
    <row r="11" spans="1:9" ht="12.75">
      <c r="A11" s="160" t="s">
        <v>178</v>
      </c>
      <c r="B11" s="160"/>
      <c r="C11" s="160"/>
      <c r="D11" s="160"/>
      <c r="E11" s="160"/>
      <c r="F11" s="160"/>
      <c r="G11" s="160"/>
      <c r="H11" s="160"/>
      <c r="I11" s="160"/>
    </row>
    <row r="13" spans="1:9" ht="12.75">
      <c r="A13" s="170" t="s">
        <v>0</v>
      </c>
      <c r="B13" s="170" t="s">
        <v>1</v>
      </c>
      <c r="C13" s="170" t="s">
        <v>2</v>
      </c>
      <c r="D13" s="171" t="s">
        <v>3</v>
      </c>
      <c r="E13" s="172"/>
      <c r="F13" s="153" t="s">
        <v>139</v>
      </c>
      <c r="G13" s="153" t="s">
        <v>140</v>
      </c>
      <c r="H13" s="155" t="s">
        <v>141</v>
      </c>
      <c r="I13" s="155" t="s">
        <v>142</v>
      </c>
    </row>
    <row r="14" spans="1:9" ht="38.25">
      <c r="A14" s="170"/>
      <c r="B14" s="170"/>
      <c r="C14" s="170"/>
      <c r="D14" s="50" t="s">
        <v>4</v>
      </c>
      <c r="E14" s="30" t="s">
        <v>5</v>
      </c>
      <c r="F14" s="154"/>
      <c r="G14" s="154"/>
      <c r="H14" s="156"/>
      <c r="I14" s="156"/>
    </row>
    <row r="15" spans="1:9" ht="12.75">
      <c r="A15" s="51" t="s">
        <v>6</v>
      </c>
      <c r="B15" s="51"/>
      <c r="C15" s="39"/>
      <c r="D15" s="52"/>
      <c r="E15" s="31"/>
      <c r="F15" s="36"/>
      <c r="G15" s="36"/>
      <c r="H15" s="37"/>
      <c r="I15" s="37"/>
    </row>
    <row r="16" spans="1:9" ht="12.75">
      <c r="A16" s="53" t="s">
        <v>7</v>
      </c>
      <c r="B16" s="164" t="s">
        <v>8</v>
      </c>
      <c r="C16" s="164"/>
      <c r="D16" s="164"/>
      <c r="E16" s="165"/>
      <c r="F16" s="36"/>
      <c r="G16" s="36"/>
      <c r="H16" s="37"/>
      <c r="I16" s="37"/>
    </row>
    <row r="17" spans="1:11" ht="12.75">
      <c r="A17" s="20" t="s">
        <v>9</v>
      </c>
      <c r="B17" s="20" t="s">
        <v>10</v>
      </c>
      <c r="C17" s="22" t="s">
        <v>11</v>
      </c>
      <c r="D17" s="18">
        <v>1</v>
      </c>
      <c r="E17" s="32">
        <f>D17*0.7</f>
        <v>0.7</v>
      </c>
      <c r="F17" s="36"/>
      <c r="G17" s="36">
        <f>E17/2</f>
        <v>0.35</v>
      </c>
      <c r="H17" s="36">
        <f>E17-G17</f>
        <v>0.35</v>
      </c>
      <c r="I17" s="37"/>
      <c r="J17"/>
      <c r="K17"/>
    </row>
    <row r="18" spans="1:11" ht="12.75">
      <c r="A18" s="20" t="s">
        <v>12</v>
      </c>
      <c r="B18" s="21" t="s">
        <v>13</v>
      </c>
      <c r="C18" s="22" t="s">
        <v>14</v>
      </c>
      <c r="D18" s="18"/>
      <c r="E18" s="32"/>
      <c r="F18" s="36"/>
      <c r="G18" s="36"/>
      <c r="H18" s="36"/>
      <c r="I18" s="37"/>
      <c r="J18"/>
      <c r="K18"/>
    </row>
    <row r="19" spans="1:9" ht="12.75">
      <c r="A19" s="20" t="s">
        <v>15</v>
      </c>
      <c r="B19" s="21" t="s">
        <v>16</v>
      </c>
      <c r="C19" s="22" t="s">
        <v>14</v>
      </c>
      <c r="D19" s="18">
        <f>2.39*2</f>
        <v>4.78</v>
      </c>
      <c r="E19" s="32">
        <f>D19*0.4</f>
        <v>1.9120000000000001</v>
      </c>
      <c r="F19" s="36"/>
      <c r="G19" s="36">
        <f>E19/2</f>
        <v>0.9560000000000001</v>
      </c>
      <c r="H19" s="36">
        <f>E19-G19</f>
        <v>0.9560000000000001</v>
      </c>
      <c r="I19" s="37"/>
    </row>
    <row r="20" spans="1:11" ht="25.5">
      <c r="A20" s="20" t="s">
        <v>17</v>
      </c>
      <c r="B20" s="21" t="s">
        <v>18</v>
      </c>
      <c r="C20" s="22" t="s">
        <v>14</v>
      </c>
      <c r="D20" s="18">
        <f>2.39*2</f>
        <v>4.78</v>
      </c>
      <c r="E20" s="32">
        <f>D20*0.4</f>
        <v>1.9120000000000001</v>
      </c>
      <c r="F20" s="36"/>
      <c r="G20" s="36">
        <f>E20/2</f>
        <v>0.9560000000000001</v>
      </c>
      <c r="H20" s="36">
        <f>E20-G20</f>
        <v>0.9560000000000001</v>
      </c>
      <c r="I20" s="37"/>
      <c r="J20"/>
      <c r="K20"/>
    </row>
    <row r="21" spans="1:11" ht="25.5">
      <c r="A21" s="20" t="s">
        <v>19</v>
      </c>
      <c r="B21" s="21" t="s">
        <v>20</v>
      </c>
      <c r="C21" s="22" t="s">
        <v>14</v>
      </c>
      <c r="D21" s="18">
        <f>2.39*2</f>
        <v>4.78</v>
      </c>
      <c r="E21" s="32">
        <f>D21*0.3</f>
        <v>1.434</v>
      </c>
      <c r="F21" s="36"/>
      <c r="G21" s="36">
        <f>E21/2</f>
        <v>0.717</v>
      </c>
      <c r="H21" s="36">
        <f>E21-G21</f>
        <v>0.717</v>
      </c>
      <c r="I21" s="37"/>
      <c r="J21"/>
      <c r="K21"/>
    </row>
    <row r="22" spans="1:11" ht="12.75">
      <c r="A22" s="20" t="s">
        <v>21</v>
      </c>
      <c r="B22" s="21" t="s">
        <v>22</v>
      </c>
      <c r="C22" s="22" t="s">
        <v>14</v>
      </c>
      <c r="D22" s="18">
        <f>2.39*2</f>
        <v>4.78</v>
      </c>
      <c r="E22" s="32">
        <f>D22*0.4</f>
        <v>1.9120000000000001</v>
      </c>
      <c r="F22" s="36"/>
      <c r="G22" s="36">
        <f>E22/2</f>
        <v>0.9560000000000001</v>
      </c>
      <c r="H22" s="36">
        <f>E22-G22</f>
        <v>0.9560000000000001</v>
      </c>
      <c r="I22" s="37"/>
      <c r="J22"/>
      <c r="K22"/>
    </row>
    <row r="23" spans="1:11" ht="12.75">
      <c r="A23" s="20" t="s">
        <v>23</v>
      </c>
      <c r="B23" s="20" t="s">
        <v>24</v>
      </c>
      <c r="C23" s="22" t="s">
        <v>25</v>
      </c>
      <c r="D23" s="18"/>
      <c r="E23" s="32"/>
      <c r="F23" s="36"/>
      <c r="G23" s="36"/>
      <c r="H23" s="37"/>
      <c r="I23" s="37"/>
      <c r="J23"/>
      <c r="K23"/>
    </row>
    <row r="24" spans="1:11" ht="25.5">
      <c r="A24" s="20" t="s">
        <v>26</v>
      </c>
      <c r="B24" s="21" t="s">
        <v>27</v>
      </c>
      <c r="C24" s="22" t="s">
        <v>25</v>
      </c>
      <c r="D24" s="18"/>
      <c r="E24" s="32"/>
      <c r="F24" s="36"/>
      <c r="G24" s="36"/>
      <c r="H24" s="37"/>
      <c r="I24" s="37"/>
      <c r="J24"/>
      <c r="K24"/>
    </row>
    <row r="25" spans="1:11" ht="25.5">
      <c r="A25" s="20" t="s">
        <v>28</v>
      </c>
      <c r="B25" s="21" t="s">
        <v>29</v>
      </c>
      <c r="C25" s="22" t="s">
        <v>30</v>
      </c>
      <c r="D25" s="18"/>
      <c r="E25" s="32"/>
      <c r="F25" s="36"/>
      <c r="G25" s="36"/>
      <c r="H25" s="37"/>
      <c r="I25" s="37"/>
      <c r="J25"/>
      <c r="K25"/>
    </row>
    <row r="26" spans="1:11" ht="12.75">
      <c r="A26" s="20" t="s">
        <v>31</v>
      </c>
      <c r="B26" s="137" t="s">
        <v>32</v>
      </c>
      <c r="C26" s="138"/>
      <c r="D26" s="138"/>
      <c r="E26" s="26"/>
      <c r="F26" s="36"/>
      <c r="G26" s="36"/>
      <c r="H26" s="37"/>
      <c r="I26" s="37"/>
      <c r="J26"/>
      <c r="K26"/>
    </row>
    <row r="27" spans="1:11" ht="12.75">
      <c r="A27" s="20" t="s">
        <v>33</v>
      </c>
      <c r="B27" s="21" t="s">
        <v>34</v>
      </c>
      <c r="C27" s="54" t="s">
        <v>35</v>
      </c>
      <c r="D27" s="18"/>
      <c r="E27" s="32"/>
      <c r="F27" s="36"/>
      <c r="G27" s="36"/>
      <c r="H27" s="37"/>
      <c r="I27" s="37"/>
      <c r="J27"/>
      <c r="K27"/>
    </row>
    <row r="28" spans="1:11" ht="12.75">
      <c r="A28" s="20" t="s">
        <v>36</v>
      </c>
      <c r="B28" s="20" t="s">
        <v>37</v>
      </c>
      <c r="C28" s="54" t="s">
        <v>38</v>
      </c>
      <c r="D28" s="18"/>
      <c r="E28" s="32"/>
      <c r="F28" s="36"/>
      <c r="G28" s="36"/>
      <c r="H28" s="37"/>
      <c r="I28" s="37"/>
      <c r="J28"/>
      <c r="K28"/>
    </row>
    <row r="29" spans="1:11" ht="12.75">
      <c r="A29" s="20" t="s">
        <v>39</v>
      </c>
      <c r="B29" s="137" t="s">
        <v>32</v>
      </c>
      <c r="C29" s="138"/>
      <c r="D29" s="138"/>
      <c r="E29" s="26"/>
      <c r="F29" s="36"/>
      <c r="G29" s="36"/>
      <c r="H29" s="37"/>
      <c r="I29" s="37"/>
      <c r="J29"/>
      <c r="K29"/>
    </row>
    <row r="30" spans="1:11" ht="12.75">
      <c r="A30" s="20" t="s">
        <v>40</v>
      </c>
      <c r="B30" s="46" t="s">
        <v>138</v>
      </c>
      <c r="C30" s="54" t="s">
        <v>38</v>
      </c>
      <c r="D30" s="18">
        <v>0</v>
      </c>
      <c r="E30" s="32">
        <f>D30*0.1</f>
        <v>0</v>
      </c>
      <c r="F30" s="36"/>
      <c r="G30" s="36"/>
      <c r="H30" s="37"/>
      <c r="I30" s="37"/>
      <c r="J30"/>
      <c r="K30"/>
    </row>
    <row r="31" spans="1:11" ht="12.75">
      <c r="A31" s="20" t="s">
        <v>41</v>
      </c>
      <c r="B31" s="20" t="s">
        <v>42</v>
      </c>
      <c r="C31" s="54"/>
      <c r="D31" s="18"/>
      <c r="E31" s="32"/>
      <c r="F31" s="36"/>
      <c r="G31" s="36"/>
      <c r="H31" s="37"/>
      <c r="I31" s="37"/>
      <c r="J31"/>
      <c r="K31"/>
    </row>
    <row r="32" spans="1:11" ht="12.75">
      <c r="A32" s="20"/>
      <c r="B32" s="20" t="s">
        <v>43</v>
      </c>
      <c r="C32" s="54" t="s">
        <v>44</v>
      </c>
      <c r="D32" s="18">
        <v>0</v>
      </c>
      <c r="E32" s="32">
        <f>D32*0.05</f>
        <v>0</v>
      </c>
      <c r="F32" s="36"/>
      <c r="G32" s="36"/>
      <c r="H32" s="37"/>
      <c r="I32" s="37"/>
      <c r="J32"/>
      <c r="K32"/>
    </row>
    <row r="33" spans="1:11" ht="12.75">
      <c r="A33" s="20"/>
      <c r="B33" s="20" t="s">
        <v>45</v>
      </c>
      <c r="C33" s="54" t="s">
        <v>46</v>
      </c>
      <c r="D33" s="18"/>
      <c r="E33" s="32"/>
      <c r="F33" s="36"/>
      <c r="G33" s="36"/>
      <c r="H33" s="37"/>
      <c r="I33" s="37"/>
      <c r="J33"/>
      <c r="K33"/>
    </row>
    <row r="34" spans="1:11" ht="12.75">
      <c r="A34" s="20" t="s">
        <v>47</v>
      </c>
      <c r="B34" s="20" t="s">
        <v>48</v>
      </c>
      <c r="C34" s="54"/>
      <c r="D34" s="18"/>
      <c r="E34" s="32"/>
      <c r="F34" s="36"/>
      <c r="G34" s="36"/>
      <c r="H34" s="37"/>
      <c r="I34" s="37"/>
      <c r="J34"/>
      <c r="K34"/>
    </row>
    <row r="35" spans="1:11" ht="12.75">
      <c r="A35" s="20"/>
      <c r="B35" s="20" t="s">
        <v>49</v>
      </c>
      <c r="C35" s="54" t="s">
        <v>50</v>
      </c>
      <c r="D35" s="18"/>
      <c r="E35" s="32"/>
      <c r="F35" s="36"/>
      <c r="G35" s="36"/>
      <c r="H35" s="37"/>
      <c r="I35" s="37"/>
      <c r="J35"/>
      <c r="K35"/>
    </row>
    <row r="36" spans="1:11" ht="12.75">
      <c r="A36" s="20"/>
      <c r="B36" s="20" t="s">
        <v>51</v>
      </c>
      <c r="C36" s="54" t="s">
        <v>50</v>
      </c>
      <c r="D36" s="18"/>
      <c r="E36" s="32"/>
      <c r="F36" s="36"/>
      <c r="G36" s="36"/>
      <c r="H36" s="37"/>
      <c r="I36" s="37"/>
      <c r="J36"/>
      <c r="K36"/>
    </row>
    <row r="37" spans="1:11" ht="12.75">
      <c r="A37" s="20" t="s">
        <v>52</v>
      </c>
      <c r="B37" s="20" t="s">
        <v>53</v>
      </c>
      <c r="C37" s="54" t="s">
        <v>54</v>
      </c>
      <c r="D37" s="18">
        <v>300</v>
      </c>
      <c r="E37" s="32">
        <f>D37*0.0134</f>
        <v>4.0200000000000005</v>
      </c>
      <c r="F37" s="36">
        <v>4.02</v>
      </c>
      <c r="G37" s="36"/>
      <c r="H37" s="37"/>
      <c r="I37" s="37"/>
      <c r="J37"/>
      <c r="K37"/>
    </row>
    <row r="38" spans="1:11" ht="12.75">
      <c r="A38" s="20" t="s">
        <v>99</v>
      </c>
      <c r="B38" s="20" t="s">
        <v>129</v>
      </c>
      <c r="C38" s="54" t="s">
        <v>130</v>
      </c>
      <c r="D38" s="18">
        <v>0</v>
      </c>
      <c r="E38" s="32">
        <f>D38*0.7</f>
        <v>0</v>
      </c>
      <c r="F38" s="36"/>
      <c r="G38" s="36"/>
      <c r="H38" s="37"/>
      <c r="I38" s="37"/>
      <c r="J38"/>
      <c r="K38"/>
    </row>
    <row r="39" spans="1:11" ht="12.75">
      <c r="A39" s="20" t="s">
        <v>102</v>
      </c>
      <c r="B39" s="20" t="s">
        <v>131</v>
      </c>
      <c r="C39" s="54" t="s">
        <v>132</v>
      </c>
      <c r="D39" s="18">
        <v>0</v>
      </c>
      <c r="E39" s="32">
        <v>0</v>
      </c>
      <c r="F39" s="36"/>
      <c r="G39" s="36"/>
      <c r="H39" s="37"/>
      <c r="I39" s="37"/>
      <c r="J39"/>
      <c r="K39"/>
    </row>
    <row r="40" spans="1:11" ht="12.75">
      <c r="A40" s="55" t="s">
        <v>103</v>
      </c>
      <c r="B40" s="21" t="s">
        <v>133</v>
      </c>
      <c r="C40" s="22" t="s">
        <v>61</v>
      </c>
      <c r="D40" s="18">
        <v>36</v>
      </c>
      <c r="E40" s="32">
        <f>1.62*4</f>
        <v>6.48</v>
      </c>
      <c r="F40" s="36">
        <f>E40/4</f>
        <v>1.62</v>
      </c>
      <c r="G40" s="36">
        <v>1.62</v>
      </c>
      <c r="H40" s="37">
        <v>1.62</v>
      </c>
      <c r="I40" s="37">
        <v>1.62</v>
      </c>
      <c r="J40"/>
      <c r="K40"/>
    </row>
    <row r="41" spans="1:11" ht="12.75">
      <c r="A41" s="142" t="s">
        <v>145</v>
      </c>
      <c r="B41" s="140"/>
      <c r="C41" s="140"/>
      <c r="D41" s="141"/>
      <c r="E41" s="40">
        <f>SUM(E17:E40)</f>
        <v>18.37</v>
      </c>
      <c r="F41" s="41">
        <f>SUM(F17:F40)</f>
        <v>5.64</v>
      </c>
      <c r="G41" s="41">
        <f>SUM(G17:G40)</f>
        <v>5.555</v>
      </c>
      <c r="H41" s="42">
        <f>SUM(H17:H40)</f>
        <v>5.555</v>
      </c>
      <c r="I41" s="42">
        <f>SUM(I17:I40)</f>
        <v>1.62</v>
      </c>
      <c r="J41" s="71">
        <f>F41+G41+H41+I41</f>
        <v>18.37</v>
      </c>
      <c r="K41" s="43"/>
    </row>
    <row r="42" spans="1:9" ht="12.75">
      <c r="A42" s="147" t="s">
        <v>55</v>
      </c>
      <c r="B42" s="148"/>
      <c r="C42" s="148"/>
      <c r="D42" s="149"/>
      <c r="E42" s="39"/>
      <c r="F42" s="36"/>
      <c r="G42" s="36"/>
      <c r="H42" s="37"/>
      <c r="I42" s="37"/>
    </row>
    <row r="43" spans="1:9" ht="12.75">
      <c r="A43" s="53" t="s">
        <v>7</v>
      </c>
      <c r="B43" s="56" t="s">
        <v>8</v>
      </c>
      <c r="C43" s="20"/>
      <c r="D43" s="18"/>
      <c r="E43" s="32"/>
      <c r="F43" s="36"/>
      <c r="G43" s="36"/>
      <c r="H43" s="37"/>
      <c r="I43" s="37"/>
    </row>
    <row r="44" spans="1:9" ht="12.75">
      <c r="A44" s="20" t="s">
        <v>9</v>
      </c>
      <c r="B44" s="20" t="s">
        <v>56</v>
      </c>
      <c r="C44" s="20"/>
      <c r="D44" s="18"/>
      <c r="E44" s="32"/>
      <c r="F44" s="36"/>
      <c r="G44" s="36"/>
      <c r="H44" s="37"/>
      <c r="I44" s="37"/>
    </row>
    <row r="45" spans="1:9" ht="12.75">
      <c r="A45" s="20"/>
      <c r="B45" s="20" t="s">
        <v>57</v>
      </c>
      <c r="C45" s="22" t="s">
        <v>14</v>
      </c>
      <c r="D45" s="18">
        <v>0</v>
      </c>
      <c r="E45" s="32">
        <f>D45*1.1</f>
        <v>0</v>
      </c>
      <c r="F45" s="36"/>
      <c r="G45" s="36"/>
      <c r="H45" s="37"/>
      <c r="I45" s="36"/>
    </row>
    <row r="46" spans="1:9" ht="25.5">
      <c r="A46" s="20"/>
      <c r="B46" s="20" t="s">
        <v>58</v>
      </c>
      <c r="C46" s="22" t="s">
        <v>59</v>
      </c>
      <c r="D46" s="18">
        <v>0</v>
      </c>
      <c r="E46" s="32">
        <f>D46*0.4</f>
        <v>0</v>
      </c>
      <c r="F46" s="36"/>
      <c r="G46" s="36"/>
      <c r="H46" s="37"/>
      <c r="I46" s="37"/>
    </row>
    <row r="47" spans="1:9" ht="12.75">
      <c r="A47" s="20" t="s">
        <v>12</v>
      </c>
      <c r="B47" s="21" t="s">
        <v>60</v>
      </c>
      <c r="C47" s="22" t="s">
        <v>61</v>
      </c>
      <c r="D47" s="18">
        <v>0</v>
      </c>
      <c r="E47" s="32">
        <f>0.1*D47</f>
        <v>0</v>
      </c>
      <c r="F47" s="36"/>
      <c r="G47" s="36"/>
      <c r="H47" s="37"/>
      <c r="I47" s="36"/>
    </row>
    <row r="48" spans="1:9" ht="25.5">
      <c r="A48" s="20" t="s">
        <v>15</v>
      </c>
      <c r="B48" s="21" t="s">
        <v>62</v>
      </c>
      <c r="C48" s="22"/>
      <c r="D48" s="18"/>
      <c r="E48" s="32"/>
      <c r="F48" s="36"/>
      <c r="G48" s="36"/>
      <c r="H48" s="37"/>
      <c r="I48" s="37"/>
    </row>
    <row r="49" spans="1:11" ht="12.75">
      <c r="A49" s="20"/>
      <c r="B49" s="20" t="s">
        <v>57</v>
      </c>
      <c r="C49" s="22" t="s">
        <v>14</v>
      </c>
      <c r="D49" s="18">
        <v>0</v>
      </c>
      <c r="E49" s="32">
        <f>D49*0.9</f>
        <v>0</v>
      </c>
      <c r="F49" s="36"/>
      <c r="G49" s="36"/>
      <c r="H49" s="37"/>
      <c r="I49" s="36"/>
      <c r="J49"/>
      <c r="K49"/>
    </row>
    <row r="50" spans="1:9" ht="12.75">
      <c r="A50" s="20"/>
      <c r="B50" s="20" t="s">
        <v>63</v>
      </c>
      <c r="C50" s="22" t="s">
        <v>136</v>
      </c>
      <c r="D50" s="18">
        <v>5</v>
      </c>
      <c r="E50" s="32">
        <f>D50*0.01</f>
        <v>0.05</v>
      </c>
      <c r="F50" s="36"/>
      <c r="G50" s="36">
        <v>0.05</v>
      </c>
      <c r="H50" s="37"/>
      <c r="I50" s="37"/>
    </row>
    <row r="51" spans="1:9" ht="12.75">
      <c r="A51" s="20"/>
      <c r="B51" s="57" t="s">
        <v>158</v>
      </c>
      <c r="C51" s="22" t="s">
        <v>64</v>
      </c>
      <c r="D51" s="18"/>
      <c r="E51" s="32"/>
      <c r="F51" s="36"/>
      <c r="G51" s="36"/>
      <c r="H51" s="37"/>
      <c r="I51" s="37"/>
    </row>
    <row r="52" spans="1:9" ht="12.75">
      <c r="A52" s="20" t="s">
        <v>17</v>
      </c>
      <c r="B52" s="20" t="s">
        <v>65</v>
      </c>
      <c r="C52" s="22" t="s">
        <v>66</v>
      </c>
      <c r="D52" s="18">
        <v>10</v>
      </c>
      <c r="E52" s="32">
        <f>D52*0.025</f>
        <v>0.25</v>
      </c>
      <c r="F52" s="36">
        <f>E52/4</f>
        <v>0.0625</v>
      </c>
      <c r="G52" s="36">
        <v>0.06</v>
      </c>
      <c r="H52" s="37">
        <v>0.06</v>
      </c>
      <c r="I52" s="36">
        <f>E52-F52-G52-H52</f>
        <v>0.0675</v>
      </c>
    </row>
    <row r="53" spans="1:9" ht="12.75">
      <c r="A53" s="20" t="s">
        <v>19</v>
      </c>
      <c r="B53" s="20" t="s">
        <v>67</v>
      </c>
      <c r="C53" s="22" t="s">
        <v>68</v>
      </c>
      <c r="D53" s="18">
        <v>10</v>
      </c>
      <c r="E53" s="32">
        <f>D53*0.04</f>
        <v>0.4</v>
      </c>
      <c r="F53" s="36">
        <f>E53/4</f>
        <v>0.1</v>
      </c>
      <c r="G53" s="36">
        <v>0.1</v>
      </c>
      <c r="H53" s="37">
        <v>0.1</v>
      </c>
      <c r="I53" s="36">
        <f>E53-F53-G53-H53</f>
        <v>0.10000000000000003</v>
      </c>
    </row>
    <row r="54" spans="1:9" ht="12.75">
      <c r="A54" s="20" t="s">
        <v>21</v>
      </c>
      <c r="B54" s="20" t="s">
        <v>69</v>
      </c>
      <c r="C54" s="22" t="s">
        <v>87</v>
      </c>
      <c r="D54" s="18">
        <v>0</v>
      </c>
      <c r="E54" s="32">
        <f>D54*0.068</f>
        <v>0</v>
      </c>
      <c r="F54" s="36"/>
      <c r="G54" s="36"/>
      <c r="H54" s="37"/>
      <c r="I54" s="36"/>
    </row>
    <row r="55" spans="1:9" ht="25.5">
      <c r="A55" s="46" t="s">
        <v>23</v>
      </c>
      <c r="B55" s="21" t="s">
        <v>71</v>
      </c>
      <c r="C55" s="22" t="s">
        <v>72</v>
      </c>
      <c r="D55" s="18">
        <v>0</v>
      </c>
      <c r="E55" s="32">
        <f>D55*0.05</f>
        <v>0</v>
      </c>
      <c r="F55" s="36"/>
      <c r="G55" s="36"/>
      <c r="H55" s="37"/>
      <c r="I55" s="36"/>
    </row>
    <row r="56" spans="1:9" ht="12.75">
      <c r="A56" s="20" t="s">
        <v>73</v>
      </c>
      <c r="B56" s="20" t="s">
        <v>74</v>
      </c>
      <c r="C56" s="22" t="s">
        <v>75</v>
      </c>
      <c r="D56" s="18">
        <v>0</v>
      </c>
      <c r="E56" s="32">
        <f>D56*0.1</f>
        <v>0</v>
      </c>
      <c r="F56" s="36"/>
      <c r="G56" s="36"/>
      <c r="H56" s="37"/>
      <c r="I56" s="37"/>
    </row>
    <row r="57" spans="1:9" ht="25.5">
      <c r="A57" s="20" t="s">
        <v>26</v>
      </c>
      <c r="B57" s="21" t="s">
        <v>77</v>
      </c>
      <c r="C57" s="22" t="s">
        <v>68</v>
      </c>
      <c r="D57" s="18">
        <v>5</v>
      </c>
      <c r="E57" s="32">
        <f>D57*0.032</f>
        <v>0.16</v>
      </c>
      <c r="F57" s="36">
        <f>E57/4</f>
        <v>0.04</v>
      </c>
      <c r="G57" s="36">
        <v>0.04</v>
      </c>
      <c r="H57" s="37">
        <v>0.04</v>
      </c>
      <c r="I57" s="36">
        <v>0.04</v>
      </c>
    </row>
    <row r="58" spans="1:9" ht="25.5">
      <c r="A58" s="20" t="s">
        <v>28</v>
      </c>
      <c r="B58" s="21" t="s">
        <v>79</v>
      </c>
      <c r="C58" s="22" t="s">
        <v>80</v>
      </c>
      <c r="D58" s="18"/>
      <c r="E58" s="32"/>
      <c r="F58" s="36"/>
      <c r="G58" s="36"/>
      <c r="H58" s="37"/>
      <c r="I58" s="37"/>
    </row>
    <row r="59" spans="1:9" ht="12.75">
      <c r="A59" s="20" t="s">
        <v>70</v>
      </c>
      <c r="B59" s="21" t="s">
        <v>82</v>
      </c>
      <c r="C59" s="22" t="s">
        <v>83</v>
      </c>
      <c r="D59" s="18">
        <v>20</v>
      </c>
      <c r="E59" s="32">
        <f>D59*0.02</f>
        <v>0.4</v>
      </c>
      <c r="F59" s="36">
        <v>0.1</v>
      </c>
      <c r="G59" s="36">
        <v>0.1</v>
      </c>
      <c r="H59" s="37">
        <v>0.1</v>
      </c>
      <c r="I59" s="37">
        <v>0.1</v>
      </c>
    </row>
    <row r="60" spans="1:9" ht="12.75">
      <c r="A60" s="20" t="s">
        <v>73</v>
      </c>
      <c r="B60" s="21" t="s">
        <v>154</v>
      </c>
      <c r="C60" s="22" t="s">
        <v>144</v>
      </c>
      <c r="D60" s="18">
        <v>15</v>
      </c>
      <c r="E60" s="32">
        <f>D60*0.128</f>
        <v>1.92</v>
      </c>
      <c r="F60" s="36">
        <f>E60/4</f>
        <v>0.48</v>
      </c>
      <c r="G60" s="36">
        <v>0.48</v>
      </c>
      <c r="H60" s="37">
        <v>0.48</v>
      </c>
      <c r="I60" s="36">
        <f>E60-F60-G60-H60</f>
        <v>0.48</v>
      </c>
    </row>
    <row r="61" spans="1:9" ht="12.75">
      <c r="A61" s="20" t="s">
        <v>76</v>
      </c>
      <c r="B61" s="21" t="s">
        <v>155</v>
      </c>
      <c r="C61" s="22" t="s">
        <v>144</v>
      </c>
      <c r="D61" s="18">
        <v>10</v>
      </c>
      <c r="E61" s="32">
        <f>D61*0.152</f>
        <v>1.52</v>
      </c>
      <c r="F61" s="36">
        <f>E61/4</f>
        <v>0.38</v>
      </c>
      <c r="G61" s="36">
        <v>0.38</v>
      </c>
      <c r="H61" s="37">
        <v>0.38</v>
      </c>
      <c r="I61" s="36">
        <f>E61-F61-G61-H61</f>
        <v>0.3800000000000001</v>
      </c>
    </row>
    <row r="62" spans="1:9" ht="12.75">
      <c r="A62" s="46" t="s">
        <v>78</v>
      </c>
      <c r="B62" s="21" t="s">
        <v>84</v>
      </c>
      <c r="C62" s="22" t="s">
        <v>85</v>
      </c>
      <c r="D62" s="18">
        <v>4</v>
      </c>
      <c r="E62" s="32">
        <f>D62*0.1</f>
        <v>0.4</v>
      </c>
      <c r="F62" s="36">
        <f>E62/4</f>
        <v>0.1</v>
      </c>
      <c r="G62" s="36">
        <v>0.1</v>
      </c>
      <c r="H62" s="37">
        <v>0.1</v>
      </c>
      <c r="I62" s="36">
        <f>E62-F62-G62-H62</f>
        <v>0.10000000000000003</v>
      </c>
    </row>
    <row r="63" spans="1:9" ht="12.75">
      <c r="A63" s="46" t="s">
        <v>81</v>
      </c>
      <c r="B63" s="21" t="s">
        <v>86</v>
      </c>
      <c r="C63" s="22" t="s">
        <v>87</v>
      </c>
      <c r="D63" s="18">
        <v>0</v>
      </c>
      <c r="E63" s="32">
        <f>D63*0.03</f>
        <v>0</v>
      </c>
      <c r="F63" s="36"/>
      <c r="G63" s="36"/>
      <c r="H63" s="37"/>
      <c r="I63" s="37"/>
    </row>
    <row r="64" spans="1:9" ht="12.75">
      <c r="A64" s="46" t="s">
        <v>156</v>
      </c>
      <c r="B64" s="21" t="s">
        <v>88</v>
      </c>
      <c r="C64" s="22" t="s">
        <v>89</v>
      </c>
      <c r="D64" s="18">
        <v>0</v>
      </c>
      <c r="E64" s="32">
        <f>D64*0.02</f>
        <v>0</v>
      </c>
      <c r="F64" s="36"/>
      <c r="G64" s="36"/>
      <c r="H64" s="36"/>
      <c r="I64" s="36"/>
    </row>
    <row r="65" spans="1:9" ht="12.75">
      <c r="A65" s="46" t="s">
        <v>157</v>
      </c>
      <c r="B65" s="37" t="s">
        <v>143</v>
      </c>
      <c r="C65" s="37" t="s">
        <v>144</v>
      </c>
      <c r="D65" s="37">
        <v>25</v>
      </c>
      <c r="E65" s="37">
        <f>D65*0.15</f>
        <v>3.75</v>
      </c>
      <c r="F65" s="36">
        <f>E65/4</f>
        <v>0.9375</v>
      </c>
      <c r="G65" s="36">
        <v>0.94</v>
      </c>
      <c r="H65" s="36">
        <v>0.94</v>
      </c>
      <c r="I65" s="36">
        <v>0.94</v>
      </c>
    </row>
    <row r="66" spans="1:9" ht="12.75">
      <c r="A66" s="20" t="s">
        <v>31</v>
      </c>
      <c r="B66" s="137" t="s">
        <v>32</v>
      </c>
      <c r="C66" s="138"/>
      <c r="D66" s="138"/>
      <c r="E66" s="26"/>
      <c r="F66" s="36"/>
      <c r="G66" s="36"/>
      <c r="H66" s="37"/>
      <c r="I66" s="37"/>
    </row>
    <row r="67" spans="1:9" ht="12.75">
      <c r="A67" s="20" t="s">
        <v>33</v>
      </c>
      <c r="B67" s="21" t="s">
        <v>90</v>
      </c>
      <c r="C67" s="22" t="s">
        <v>91</v>
      </c>
      <c r="D67" s="18">
        <v>10.2</v>
      </c>
      <c r="E67" s="32">
        <f>D67*0.2</f>
        <v>2.04</v>
      </c>
      <c r="F67" s="36"/>
      <c r="G67" s="36">
        <v>2.04</v>
      </c>
      <c r="H67" s="37"/>
      <c r="I67" s="37"/>
    </row>
    <row r="68" spans="1:9" ht="12.75">
      <c r="A68" s="20" t="s">
        <v>39</v>
      </c>
      <c r="B68" s="137" t="s">
        <v>32</v>
      </c>
      <c r="C68" s="138"/>
      <c r="D68" s="138"/>
      <c r="E68" s="26"/>
      <c r="F68" s="36"/>
      <c r="G68" s="36"/>
      <c r="H68" s="37"/>
      <c r="I68" s="37"/>
    </row>
    <row r="69" spans="1:9" ht="25.5">
      <c r="A69" s="20" t="s">
        <v>40</v>
      </c>
      <c r="B69" s="21" t="s">
        <v>92</v>
      </c>
      <c r="C69" s="22" t="s">
        <v>93</v>
      </c>
      <c r="D69" s="18">
        <v>0</v>
      </c>
      <c r="E69" s="32">
        <f>D69*0.3</f>
        <v>0</v>
      </c>
      <c r="F69" s="36"/>
      <c r="G69" s="36"/>
      <c r="H69" s="37"/>
      <c r="I69" s="37"/>
    </row>
    <row r="70" spans="1:9" ht="12.75">
      <c r="A70" s="20" t="s">
        <v>41</v>
      </c>
      <c r="B70" s="21" t="s">
        <v>94</v>
      </c>
      <c r="C70" s="22" t="s">
        <v>95</v>
      </c>
      <c r="D70" s="18"/>
      <c r="E70" s="32"/>
      <c r="F70" s="36"/>
      <c r="G70" s="36"/>
      <c r="H70" s="37"/>
      <c r="I70" s="37"/>
    </row>
    <row r="71" spans="1:9" ht="12.75">
      <c r="A71" s="20" t="s">
        <v>47</v>
      </c>
      <c r="B71" s="21" t="s">
        <v>96</v>
      </c>
      <c r="C71" s="22" t="s">
        <v>97</v>
      </c>
      <c r="D71" s="18">
        <v>166.12</v>
      </c>
      <c r="E71" s="32">
        <f>D71*0.0976</f>
        <v>16.213312000000002</v>
      </c>
      <c r="F71" s="36"/>
      <c r="G71" s="36">
        <v>16.21</v>
      </c>
      <c r="H71" s="37"/>
      <c r="I71" s="37"/>
    </row>
    <row r="72" spans="1:9" ht="12.75">
      <c r="A72" s="20" t="s">
        <v>52</v>
      </c>
      <c r="B72" s="21" t="s">
        <v>98</v>
      </c>
      <c r="C72" s="22" t="s">
        <v>91</v>
      </c>
      <c r="D72" s="18">
        <v>20.93</v>
      </c>
      <c r="E72" s="32">
        <f>D72*0.874</f>
        <v>18.29282</v>
      </c>
      <c r="F72" s="36"/>
      <c r="G72" s="36">
        <v>18.29</v>
      </c>
      <c r="H72" s="37"/>
      <c r="I72" s="37"/>
    </row>
    <row r="73" spans="1:9" ht="12.75">
      <c r="A73" s="20" t="s">
        <v>99</v>
      </c>
      <c r="B73" s="21" t="s">
        <v>100</v>
      </c>
      <c r="C73" s="22" t="s">
        <v>101</v>
      </c>
      <c r="D73" s="18">
        <v>30</v>
      </c>
      <c r="E73" s="32">
        <f>D73*0.1</f>
        <v>3</v>
      </c>
      <c r="F73" s="36">
        <v>1</v>
      </c>
      <c r="G73" s="36"/>
      <c r="H73" s="37">
        <v>1</v>
      </c>
      <c r="I73" s="37">
        <v>1</v>
      </c>
    </row>
    <row r="74" spans="1:9" ht="12.75">
      <c r="A74" s="20" t="s">
        <v>102</v>
      </c>
      <c r="B74" s="21" t="s">
        <v>134</v>
      </c>
      <c r="C74" s="22" t="s">
        <v>130</v>
      </c>
      <c r="D74" s="18">
        <v>2</v>
      </c>
      <c r="E74" s="32">
        <f>D74*0.85</f>
        <v>1.7</v>
      </c>
      <c r="F74" s="36">
        <f>E74/4</f>
        <v>0.425</v>
      </c>
      <c r="G74" s="36">
        <v>0.43</v>
      </c>
      <c r="H74" s="37">
        <v>0.43</v>
      </c>
      <c r="I74" s="36">
        <f>E74-F74-G74-H74</f>
        <v>0.415</v>
      </c>
    </row>
    <row r="75" spans="1:9" ht="12.75">
      <c r="A75" s="20" t="s">
        <v>103</v>
      </c>
      <c r="B75" s="57" t="s">
        <v>135</v>
      </c>
      <c r="C75" s="58" t="s">
        <v>130</v>
      </c>
      <c r="D75" s="18">
        <v>0</v>
      </c>
      <c r="E75" s="32">
        <v>0</v>
      </c>
      <c r="F75" s="36"/>
      <c r="G75" s="36"/>
      <c r="H75" s="37"/>
      <c r="I75" s="37"/>
    </row>
    <row r="76" spans="1:11" ht="12.75">
      <c r="A76" s="142" t="s">
        <v>146</v>
      </c>
      <c r="B76" s="140"/>
      <c r="C76" s="140"/>
      <c r="D76" s="141"/>
      <c r="E76" s="40">
        <f>SUM(E45:E75)</f>
        <v>50.096132000000004</v>
      </c>
      <c r="F76" s="41">
        <f>SUM(F44:F75)</f>
        <v>3.625</v>
      </c>
      <c r="G76" s="41">
        <f>SUM(G44:G75)</f>
        <v>39.22</v>
      </c>
      <c r="H76" s="42">
        <f>SUM(H44:H75)</f>
        <v>3.6300000000000003</v>
      </c>
      <c r="I76" s="41">
        <f>SUM(I44:I75)</f>
        <v>3.6225000000000005</v>
      </c>
      <c r="J76" s="72">
        <f>F76+G76+H76+I76</f>
        <v>50.097500000000004</v>
      </c>
      <c r="K76" s="68"/>
    </row>
    <row r="77" spans="1:9" ht="12.75">
      <c r="A77" s="51" t="s">
        <v>104</v>
      </c>
      <c r="B77" s="39"/>
      <c r="C77" s="39"/>
      <c r="D77" s="39"/>
      <c r="E77" s="33"/>
      <c r="F77" s="36"/>
      <c r="G77" s="36"/>
      <c r="H77" s="37"/>
      <c r="I77" s="37"/>
    </row>
    <row r="78" spans="1:9" ht="12.75">
      <c r="A78" s="53" t="s">
        <v>7</v>
      </c>
      <c r="B78" s="56" t="s">
        <v>105</v>
      </c>
      <c r="C78" s="22"/>
      <c r="D78" s="18"/>
      <c r="E78" s="32"/>
      <c r="F78" s="36"/>
      <c r="G78" s="36"/>
      <c r="H78" s="37"/>
      <c r="I78" s="37"/>
    </row>
    <row r="79" spans="1:9" ht="12.75">
      <c r="A79" s="20" t="s">
        <v>9</v>
      </c>
      <c r="B79" s="20" t="s">
        <v>106</v>
      </c>
      <c r="C79" s="22" t="s">
        <v>107</v>
      </c>
      <c r="D79" s="18">
        <f>1115+1642</f>
        <v>2757</v>
      </c>
      <c r="E79" s="32">
        <v>58.367</v>
      </c>
      <c r="F79" s="36">
        <f>E79/4</f>
        <v>14.59175</v>
      </c>
      <c r="G79" s="36">
        <v>14.59</v>
      </c>
      <c r="H79" s="37">
        <v>14.59</v>
      </c>
      <c r="I79" s="37">
        <v>14.59</v>
      </c>
    </row>
    <row r="80" spans="1:9" ht="12.75">
      <c r="A80" s="20" t="s">
        <v>12</v>
      </c>
      <c r="B80" s="21" t="s">
        <v>108</v>
      </c>
      <c r="C80" s="22" t="s">
        <v>109</v>
      </c>
      <c r="D80" s="18"/>
      <c r="E80" s="32"/>
      <c r="F80" s="36"/>
      <c r="G80" s="36"/>
      <c r="H80" s="37"/>
      <c r="I80" s="37"/>
    </row>
    <row r="81" spans="1:9" ht="12.75">
      <c r="A81" s="20" t="s">
        <v>15</v>
      </c>
      <c r="B81" s="21" t="s">
        <v>110</v>
      </c>
      <c r="C81" s="22" t="s">
        <v>107</v>
      </c>
      <c r="D81" s="18">
        <v>1300</v>
      </c>
      <c r="E81" s="32">
        <v>2</v>
      </c>
      <c r="F81" s="36"/>
      <c r="G81" s="36">
        <f>E81/2</f>
        <v>1</v>
      </c>
      <c r="H81" s="37">
        <v>1</v>
      </c>
      <c r="I81" s="37"/>
    </row>
    <row r="82" spans="1:9" ht="12.75">
      <c r="A82" s="20" t="s">
        <v>31</v>
      </c>
      <c r="B82" s="56" t="s">
        <v>111</v>
      </c>
      <c r="C82" s="22"/>
      <c r="D82" s="18"/>
      <c r="E82" s="32"/>
      <c r="F82" s="36"/>
      <c r="G82" s="36"/>
      <c r="H82" s="37"/>
      <c r="I82" s="37"/>
    </row>
    <row r="83" spans="1:9" ht="25.5">
      <c r="A83" s="20"/>
      <c r="B83" s="21" t="s">
        <v>112</v>
      </c>
      <c r="C83" s="22" t="s">
        <v>113</v>
      </c>
      <c r="D83" s="18"/>
      <c r="E83" s="32"/>
      <c r="F83" s="36"/>
      <c r="G83" s="36"/>
      <c r="H83" s="37"/>
      <c r="I83" s="37"/>
    </row>
    <row r="84" spans="1:9" ht="25.5">
      <c r="A84" s="20"/>
      <c r="B84" s="21" t="s">
        <v>114</v>
      </c>
      <c r="C84" s="22" t="s">
        <v>113</v>
      </c>
      <c r="D84" s="18"/>
      <c r="E84" s="32">
        <f>0.9*12</f>
        <v>10.8</v>
      </c>
      <c r="F84" s="36">
        <f>E84/4</f>
        <v>2.7</v>
      </c>
      <c r="G84" s="36">
        <v>2.7</v>
      </c>
      <c r="H84" s="37">
        <v>2.7</v>
      </c>
      <c r="I84" s="36">
        <f>E84-F84-G84-H84</f>
        <v>2.700000000000001</v>
      </c>
    </row>
    <row r="85" spans="1:11" ht="12.75">
      <c r="A85" s="139" t="s">
        <v>147</v>
      </c>
      <c r="B85" s="140"/>
      <c r="C85" s="140"/>
      <c r="D85" s="141"/>
      <c r="E85" s="40">
        <f>SUM(E79:E84)</f>
        <v>71.167</v>
      </c>
      <c r="F85" s="41">
        <f>SUM(F79:F84)</f>
        <v>17.29175</v>
      </c>
      <c r="G85" s="41">
        <f>SUM(G79:G84)</f>
        <v>18.29</v>
      </c>
      <c r="H85" s="42">
        <f>SUM(H79:H84)</f>
        <v>18.29</v>
      </c>
      <c r="I85" s="41">
        <f>SUM(I79:I84)</f>
        <v>17.29</v>
      </c>
      <c r="J85" s="72">
        <f>F85+G85+H85+I85</f>
        <v>71.16175</v>
      </c>
      <c r="K85" s="68"/>
    </row>
    <row r="86" spans="1:9" ht="12.75">
      <c r="A86" s="136" t="s">
        <v>115</v>
      </c>
      <c r="B86" s="136"/>
      <c r="C86" s="136"/>
      <c r="D86" s="136"/>
      <c r="E86" s="34"/>
      <c r="F86" s="36"/>
      <c r="G86" s="36"/>
      <c r="H86" s="37"/>
      <c r="I86" s="37"/>
    </row>
    <row r="87" spans="1:9" ht="12.75">
      <c r="A87" s="59">
        <v>1</v>
      </c>
      <c r="B87" s="53" t="s">
        <v>126</v>
      </c>
      <c r="C87" s="60" t="s">
        <v>127</v>
      </c>
      <c r="D87" s="52">
        <v>3878.2</v>
      </c>
      <c r="E87" s="35">
        <f>D87*0.59*12/1000</f>
        <v>27.457656</v>
      </c>
      <c r="F87" s="36">
        <f>E87/4</f>
        <v>6.864414</v>
      </c>
      <c r="G87" s="36">
        <v>6.86</v>
      </c>
      <c r="H87" s="37">
        <v>6.86</v>
      </c>
      <c r="I87" s="36">
        <f>E87-F87-G87-H87</f>
        <v>6.873242</v>
      </c>
    </row>
    <row r="88" spans="1:9" ht="12.75">
      <c r="A88" s="59">
        <v>2</v>
      </c>
      <c r="B88" s="53" t="s">
        <v>116</v>
      </c>
      <c r="C88" s="60" t="s">
        <v>117</v>
      </c>
      <c r="D88" s="52">
        <v>590</v>
      </c>
      <c r="E88" s="31">
        <f>D88*1.4*2/1000</f>
        <v>1.652</v>
      </c>
      <c r="F88" s="36"/>
      <c r="G88" s="36">
        <f>E88/2</f>
        <v>0.826</v>
      </c>
      <c r="H88" s="37">
        <v>0.63</v>
      </c>
      <c r="I88" s="36"/>
    </row>
    <row r="89" spans="1:9" ht="25.5">
      <c r="A89" s="59">
        <v>3</v>
      </c>
      <c r="B89" s="61" t="s">
        <v>128</v>
      </c>
      <c r="C89" s="60"/>
      <c r="D89" s="52"/>
      <c r="E89" s="35">
        <v>13.45</v>
      </c>
      <c r="F89" s="36">
        <f>E89/4</f>
        <v>3.3625</v>
      </c>
      <c r="G89" s="36">
        <v>3.36</v>
      </c>
      <c r="H89" s="37">
        <v>3.36</v>
      </c>
      <c r="I89" s="36">
        <v>3.36</v>
      </c>
    </row>
    <row r="90" spans="1:10" ht="12.75">
      <c r="A90" s="59">
        <v>4</v>
      </c>
      <c r="B90" s="63" t="s">
        <v>191</v>
      </c>
      <c r="C90" s="80">
        <v>0.149</v>
      </c>
      <c r="D90" s="52"/>
      <c r="E90" s="31">
        <v>35.243</v>
      </c>
      <c r="F90" s="36">
        <f>E90/4</f>
        <v>8.81075</v>
      </c>
      <c r="G90" s="36">
        <v>8.81</v>
      </c>
      <c r="H90" s="37">
        <v>8.81</v>
      </c>
      <c r="I90" s="36">
        <f>E90-F90-G90-H90</f>
        <v>8.81225</v>
      </c>
      <c r="J90" s="23"/>
    </row>
    <row r="91" spans="1:11" ht="12.75">
      <c r="A91" s="142" t="s">
        <v>149</v>
      </c>
      <c r="B91" s="140"/>
      <c r="C91" s="140"/>
      <c r="D91" s="141"/>
      <c r="E91" s="40">
        <f>SUM(E87:E90)</f>
        <v>77.80265600000001</v>
      </c>
      <c r="F91" s="41">
        <f>SUM(F87:F90)</f>
        <v>19.037664</v>
      </c>
      <c r="G91" s="41">
        <f>SUM(G87:G90)</f>
        <v>19.856</v>
      </c>
      <c r="H91" s="42">
        <f>SUM(H87:H90)</f>
        <v>19.66</v>
      </c>
      <c r="I91" s="41">
        <f>SUM(I87:I90)</f>
        <v>19.045492000000003</v>
      </c>
      <c r="J91" s="72">
        <f>F91+G91+H91+I91</f>
        <v>77.599156</v>
      </c>
      <c r="K91" s="68"/>
    </row>
    <row r="92" spans="1:11" ht="12.75">
      <c r="A92" s="139" t="s">
        <v>150</v>
      </c>
      <c r="B92" s="140"/>
      <c r="C92" s="140"/>
      <c r="D92" s="141"/>
      <c r="E92" s="40">
        <f>E41+E76+E85+E91</f>
        <v>217.435788</v>
      </c>
      <c r="F92" s="41">
        <f>F41+F76+F85+F91</f>
        <v>45.594414</v>
      </c>
      <c r="G92" s="41">
        <f>G41+G76+G85+G91</f>
        <v>82.92099999999999</v>
      </c>
      <c r="H92" s="41">
        <f>H41+H76+H85+H91</f>
        <v>47.135000000000005</v>
      </c>
      <c r="I92" s="41">
        <f>I41+I76+I85+I91</f>
        <v>41.577992</v>
      </c>
      <c r="J92" s="24">
        <v>217.435</v>
      </c>
      <c r="K92" s="23">
        <f>J92-E92</f>
        <v>-0.0007880000000000109</v>
      </c>
    </row>
    <row r="93" spans="1:10" ht="12.75">
      <c r="A93" s="121" t="s">
        <v>151</v>
      </c>
      <c r="B93" s="122"/>
      <c r="C93" s="122"/>
      <c r="D93" s="122"/>
      <c r="E93" s="123"/>
      <c r="F93" s="36"/>
      <c r="G93" s="36"/>
      <c r="H93" s="37"/>
      <c r="I93" s="37"/>
      <c r="J93" s="23"/>
    </row>
    <row r="94" spans="1:9" ht="25.5">
      <c r="A94" s="150">
        <v>1</v>
      </c>
      <c r="B94" s="63" t="s">
        <v>182</v>
      </c>
      <c r="C94" s="94" t="s">
        <v>107</v>
      </c>
      <c r="D94" s="52">
        <v>3878.2</v>
      </c>
      <c r="E94" s="104">
        <f>(2.32*D94*10/1000)+(4100*2*2/1000)</f>
        <v>106.37423999999999</v>
      </c>
      <c r="F94" s="97">
        <f>E94/4</f>
        <v>26.593559999999997</v>
      </c>
      <c r="G94" s="97">
        <v>26.6</v>
      </c>
      <c r="H94" s="97">
        <v>26.6</v>
      </c>
      <c r="I94" s="97">
        <v>26.6</v>
      </c>
    </row>
    <row r="95" spans="1:9" ht="12.75">
      <c r="A95" s="151"/>
      <c r="B95" s="62" t="s">
        <v>183</v>
      </c>
      <c r="C95" s="66"/>
      <c r="D95" s="52"/>
      <c r="E95" s="104">
        <v>11.5</v>
      </c>
      <c r="F95" s="97">
        <f>E95/4</f>
        <v>2.875</v>
      </c>
      <c r="G95" s="97">
        <v>2.9</v>
      </c>
      <c r="H95" s="97">
        <v>2.9</v>
      </c>
      <c r="I95" s="97">
        <v>2.9</v>
      </c>
    </row>
    <row r="96" spans="1:10" ht="25.5">
      <c r="A96" s="152"/>
      <c r="B96" s="82" t="s">
        <v>184</v>
      </c>
      <c r="C96" s="81"/>
      <c r="D96" s="41"/>
      <c r="E96" s="99">
        <f>SUM(E94:E95)</f>
        <v>117.87423999999999</v>
      </c>
      <c r="F96" s="100">
        <f>SUM(F94:F95)</f>
        <v>29.468559999999997</v>
      </c>
      <c r="G96" s="100">
        <f>SUM(G94:G95)</f>
        <v>29.5</v>
      </c>
      <c r="H96" s="100">
        <f>SUM(H94:H95)</f>
        <v>29.5</v>
      </c>
      <c r="I96" s="100">
        <f>SUM(I94:I95)</f>
        <v>29.5</v>
      </c>
      <c r="J96" s="108"/>
    </row>
    <row r="97" spans="1:9" ht="25.5">
      <c r="A97" s="150">
        <v>2</v>
      </c>
      <c r="B97" s="62" t="s">
        <v>188</v>
      </c>
      <c r="C97" s="66" t="s">
        <v>107</v>
      </c>
      <c r="D97" s="52">
        <v>3878.2</v>
      </c>
      <c r="E97" s="104">
        <f>D97*1.62*12/1000</f>
        <v>75.392208</v>
      </c>
      <c r="F97" s="97">
        <f>E97/4</f>
        <v>18.848052</v>
      </c>
      <c r="G97" s="97">
        <v>18.8</v>
      </c>
      <c r="H97" s="97">
        <v>18.8</v>
      </c>
      <c r="I97" s="97">
        <v>18.8</v>
      </c>
    </row>
    <row r="98" spans="1:9" ht="12.75">
      <c r="A98" s="151"/>
      <c r="B98" s="62" t="s">
        <v>183</v>
      </c>
      <c r="C98" s="66"/>
      <c r="D98" s="52"/>
      <c r="E98" s="104">
        <v>2.3</v>
      </c>
      <c r="F98" s="97">
        <f>E98/4</f>
        <v>0.575</v>
      </c>
      <c r="G98" s="97">
        <v>0.6</v>
      </c>
      <c r="H98" s="97">
        <v>0.6</v>
      </c>
      <c r="I98" s="97">
        <v>0.6</v>
      </c>
    </row>
    <row r="99" spans="1:10" ht="12.75">
      <c r="A99" s="152"/>
      <c r="B99" s="82" t="s">
        <v>189</v>
      </c>
      <c r="C99" s="81"/>
      <c r="D99" s="41"/>
      <c r="E99" s="99">
        <f>SUM(E97:E98)</f>
        <v>77.692208</v>
      </c>
      <c r="F99" s="100">
        <v>19.4</v>
      </c>
      <c r="G99" s="100">
        <f>SUM(G97:G98)</f>
        <v>19.400000000000002</v>
      </c>
      <c r="H99" s="100">
        <f>SUM(H97:H98)</f>
        <v>19.400000000000002</v>
      </c>
      <c r="I99" s="100">
        <f>SUM(I97:I98)</f>
        <v>19.400000000000002</v>
      </c>
      <c r="J99" s="108"/>
    </row>
    <row r="100" spans="1:9" ht="25.5">
      <c r="A100" s="150">
        <v>3</v>
      </c>
      <c r="B100" s="62" t="s">
        <v>185</v>
      </c>
      <c r="C100" s="60" t="s">
        <v>107</v>
      </c>
      <c r="D100" s="52">
        <v>3878.2</v>
      </c>
      <c r="E100" s="104">
        <f>D100*0.45*12/1000</f>
        <v>20.94228</v>
      </c>
      <c r="F100" s="97">
        <f>E100/4</f>
        <v>5.23557</v>
      </c>
      <c r="G100" s="97">
        <v>5.2</v>
      </c>
      <c r="H100" s="97">
        <v>5.2</v>
      </c>
      <c r="I100" s="97">
        <v>5.2</v>
      </c>
    </row>
    <row r="101" spans="1:9" ht="12.75">
      <c r="A101" s="151"/>
      <c r="B101" s="63" t="s">
        <v>183</v>
      </c>
      <c r="C101" s="60"/>
      <c r="D101" s="52"/>
      <c r="E101" s="104">
        <v>3.3</v>
      </c>
      <c r="F101" s="97">
        <f>E101/4</f>
        <v>0.825</v>
      </c>
      <c r="G101" s="97">
        <v>0.8</v>
      </c>
      <c r="H101" s="97">
        <v>0.8</v>
      </c>
      <c r="I101" s="97">
        <v>0.8</v>
      </c>
    </row>
    <row r="102" spans="1:10" ht="25.5">
      <c r="A102" s="152"/>
      <c r="B102" s="83" t="s">
        <v>186</v>
      </c>
      <c r="C102" s="84"/>
      <c r="D102" s="41"/>
      <c r="E102" s="99">
        <f>SUM(E100:E101)</f>
        <v>24.24228</v>
      </c>
      <c r="F102" s="99">
        <f>SUM(F100:F101)</f>
        <v>6.06057</v>
      </c>
      <c r="G102" s="99">
        <f>SUM(G100:G101)</f>
        <v>6</v>
      </c>
      <c r="H102" s="99">
        <f>SUM(H100:H101)</f>
        <v>6</v>
      </c>
      <c r="I102" s="100">
        <f>SUM(I100:I101)</f>
        <v>6</v>
      </c>
      <c r="J102" s="108"/>
    </row>
    <row r="103" spans="1:9" ht="12.75">
      <c r="A103" s="126" t="s">
        <v>152</v>
      </c>
      <c r="B103" s="119"/>
      <c r="C103" s="119"/>
      <c r="D103" s="119"/>
      <c r="E103" s="105">
        <f>E96+E99+E102</f>
        <v>219.80872799999997</v>
      </c>
      <c r="F103" s="105">
        <f>F96+F99+F102</f>
        <v>54.929129999999994</v>
      </c>
      <c r="G103" s="105">
        <f>G96+G99+G102</f>
        <v>54.900000000000006</v>
      </c>
      <c r="H103" s="105">
        <f>H96+H99+H102</f>
        <v>54.900000000000006</v>
      </c>
      <c r="I103" s="105">
        <f>I96+I99+I102</f>
        <v>54.900000000000006</v>
      </c>
    </row>
    <row r="104" spans="1:10" ht="15.75">
      <c r="A104" s="145" t="s">
        <v>153</v>
      </c>
      <c r="B104" s="146"/>
      <c r="C104" s="146"/>
      <c r="D104" s="146"/>
      <c r="E104" s="65">
        <f>E92+E103</f>
        <v>437.244516</v>
      </c>
      <c r="F104" s="65">
        <f>F92+F103</f>
        <v>100.52354399999999</v>
      </c>
      <c r="G104" s="65">
        <f>G92+G103</f>
        <v>137.821</v>
      </c>
      <c r="H104" s="65">
        <f>H92+H103</f>
        <v>102.03500000000001</v>
      </c>
      <c r="I104" s="65">
        <f>I92+I103</f>
        <v>96.477992</v>
      </c>
      <c r="J104" s="23"/>
    </row>
    <row r="105" spans="1:9" ht="12.75">
      <c r="A105" s="124" t="s">
        <v>118</v>
      </c>
      <c r="B105" s="124"/>
      <c r="C105" s="124"/>
      <c r="D105" s="124"/>
      <c r="E105" s="125"/>
      <c r="F105" s="36"/>
      <c r="G105" s="36"/>
      <c r="H105" s="37"/>
      <c r="I105" s="37"/>
    </row>
    <row r="106" spans="1:9" ht="12.75">
      <c r="A106" s="53" t="s">
        <v>7</v>
      </c>
      <c r="B106" s="53" t="s">
        <v>119</v>
      </c>
      <c r="C106" s="66" t="s">
        <v>120</v>
      </c>
      <c r="D106" s="52">
        <v>110.691</v>
      </c>
      <c r="E106" s="31"/>
      <c r="F106" s="36"/>
      <c r="G106" s="36"/>
      <c r="H106" s="37"/>
      <c r="I106" s="37"/>
    </row>
    <row r="107" spans="1:9" ht="12.75">
      <c r="A107" s="53" t="s">
        <v>31</v>
      </c>
      <c r="B107" s="53" t="s">
        <v>121</v>
      </c>
      <c r="C107" s="66" t="s">
        <v>122</v>
      </c>
      <c r="D107" s="52">
        <f>12+4</f>
        <v>16</v>
      </c>
      <c r="E107" s="31"/>
      <c r="F107" s="36"/>
      <c r="G107" s="36"/>
      <c r="H107" s="37"/>
      <c r="I107" s="37"/>
    </row>
    <row r="108" spans="1:11" ht="12.75">
      <c r="A108" s="53" t="s">
        <v>39</v>
      </c>
      <c r="B108" s="53" t="s">
        <v>123</v>
      </c>
      <c r="C108" s="66" t="s">
        <v>122</v>
      </c>
      <c r="D108" s="52">
        <f>396+160+120+144+153+153+63+40+196+220+60+60+60+80</f>
        <v>1905</v>
      </c>
      <c r="E108" s="31"/>
      <c r="F108" s="36"/>
      <c r="G108" s="36"/>
      <c r="H108" s="37"/>
      <c r="I108" s="37"/>
      <c r="J108"/>
      <c r="K108"/>
    </row>
    <row r="109" spans="1:7" ht="12.75">
      <c r="A109" s="67"/>
      <c r="B109" s="67"/>
      <c r="C109" s="67"/>
      <c r="D109" s="25"/>
      <c r="E109" s="25"/>
      <c r="F109" s="23"/>
      <c r="G109" s="23"/>
    </row>
    <row r="110" spans="1:7" ht="12.75">
      <c r="A110" s="67"/>
      <c r="B110" s="67" t="s">
        <v>124</v>
      </c>
      <c r="C110" s="162" t="s">
        <v>176</v>
      </c>
      <c r="D110" s="163"/>
      <c r="E110" s="163"/>
      <c r="F110" s="23"/>
      <c r="G110" s="23"/>
    </row>
    <row r="111" spans="1:7" ht="12.75">
      <c r="A111" s="67"/>
      <c r="B111" s="67"/>
      <c r="C111" s="67"/>
      <c r="D111" s="25"/>
      <c r="E111" s="25"/>
      <c r="F111" s="23"/>
      <c r="G111" s="23"/>
    </row>
    <row r="112" spans="2:7" ht="12.75">
      <c r="B112" s="95" t="s">
        <v>194</v>
      </c>
      <c r="C112" s="24" t="s">
        <v>199</v>
      </c>
      <c r="D112" s="23"/>
      <c r="E112" s="23"/>
      <c r="F112" s="23"/>
      <c r="G112" s="23"/>
    </row>
  </sheetData>
  <mergeCells count="36">
    <mergeCell ref="E6:I6"/>
    <mergeCell ref="A8:I8"/>
    <mergeCell ref="A9:I9"/>
    <mergeCell ref="A11:I11"/>
    <mergeCell ref="E2:I2"/>
    <mergeCell ref="E3:I3"/>
    <mergeCell ref="E4:I4"/>
    <mergeCell ref="E5:I5"/>
    <mergeCell ref="A13:A14"/>
    <mergeCell ref="B13:B14"/>
    <mergeCell ref="C13:C14"/>
    <mergeCell ref="D13:E13"/>
    <mergeCell ref="F13:F14"/>
    <mergeCell ref="G13:G14"/>
    <mergeCell ref="H13:H14"/>
    <mergeCell ref="I13:I14"/>
    <mergeCell ref="B16:E16"/>
    <mergeCell ref="B26:D26"/>
    <mergeCell ref="B29:D29"/>
    <mergeCell ref="A41:D41"/>
    <mergeCell ref="A42:D42"/>
    <mergeCell ref="B66:D66"/>
    <mergeCell ref="B68:D68"/>
    <mergeCell ref="A76:D76"/>
    <mergeCell ref="A85:D85"/>
    <mergeCell ref="A86:D86"/>
    <mergeCell ref="A91:D91"/>
    <mergeCell ref="A92:D92"/>
    <mergeCell ref="A105:E105"/>
    <mergeCell ref="C110:E110"/>
    <mergeCell ref="A93:E93"/>
    <mergeCell ref="A104:D104"/>
    <mergeCell ref="A94:A96"/>
    <mergeCell ref="A97:A99"/>
    <mergeCell ref="A100:A102"/>
    <mergeCell ref="A103:D103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OAL&amp;OOGT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Ahmetshina</dc:creator>
  <cp:keywords/>
  <dc:description/>
  <cp:lastModifiedBy> </cp:lastModifiedBy>
  <cp:lastPrinted>2010-03-10T09:13:15Z</cp:lastPrinted>
  <dcterms:created xsi:type="dcterms:W3CDTF">2007-12-17T06:15:54Z</dcterms:created>
  <dcterms:modified xsi:type="dcterms:W3CDTF">2010-12-17T12:07:14Z</dcterms:modified>
  <cp:category/>
  <cp:version/>
  <cp:contentType/>
  <cp:contentStatus/>
</cp:coreProperties>
</file>