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1145" windowHeight="6090" tabRatio="779" firstSheet="1" activeTab="1"/>
  </bookViews>
  <sheets>
    <sheet name="Лазо.24" sheetId="1" r:id="rId1"/>
    <sheet name="Чер.30" sheetId="2" r:id="rId2"/>
    <sheet name="Лазо.26" sheetId="3" r:id="rId3"/>
    <sheet name="Лазо.42" sheetId="4" r:id="rId4"/>
    <sheet name="Лист1" sheetId="5" r:id="rId5"/>
    <sheet name="Лист2" sheetId="6" r:id="rId6"/>
    <sheet name="Лазо.2" sheetId="7" r:id="rId7"/>
    <sheet name="Чер.974" sheetId="8" r:id="rId8"/>
    <sheet name="Чер.97а" sheetId="9" r:id="rId9"/>
    <sheet name="Чер.89" sheetId="10" r:id="rId10"/>
    <sheet name="Чер.91" sheetId="11" r:id="rId11"/>
    <sheet name="Чер.95" sheetId="12" r:id="rId12"/>
    <sheet name="Чер.951" sheetId="13" r:id="rId13"/>
    <sheet name="Чер.973" sheetId="14" r:id="rId14"/>
    <sheet name="Чер.99" sheetId="15" r:id="rId15"/>
    <sheet name="Ир.273" sheetId="16" r:id="rId16"/>
    <sheet name="Ир.781" sheetId="17" r:id="rId17"/>
    <sheet name="Ир.782" sheetId="18" r:id="rId18"/>
    <sheet name="Ир.783" sheetId="19" r:id="rId19"/>
    <sheet name="Ир.82" sheetId="20" r:id="rId20"/>
    <sheet name="Ир.84" sheetId="21" r:id="rId21"/>
    <sheet name="Ир.98" sheetId="22" r:id="rId22"/>
    <sheet name="Ир.104" sheetId="23" r:id="rId23"/>
    <sheet name="Ир.104а" sheetId="24" r:id="rId24"/>
    <sheet name="И.106" sheetId="25" r:id="rId25"/>
    <sheet name="Ир.108" sheetId="26" r:id="rId26"/>
    <sheet name="Ир.1081" sheetId="27" r:id="rId27"/>
    <sheet name="Ир.112" sheetId="28" r:id="rId28"/>
    <sheet name="Ир.114" sheetId="29" r:id="rId29"/>
    <sheet name="Ир.1161" sheetId="30" r:id="rId30"/>
    <sheet name="Кар.33" sheetId="31" r:id="rId31"/>
    <sheet name="Кар.35" sheetId="32" r:id="rId32"/>
    <sheet name="Бер.2" sheetId="33" r:id="rId33"/>
    <sheet name="Бер.22" sheetId="34" r:id="rId34"/>
    <sheet name="Мич.14" sheetId="35" r:id="rId35"/>
    <sheet name="Нов.6" sheetId="36" r:id="rId36"/>
    <sheet name="Раб.9" sheetId="37" r:id="rId37"/>
    <sheet name="Сув.3" sheetId="38" r:id="rId38"/>
    <sheet name="Сув.4" sheetId="39" r:id="rId39"/>
    <sheet name="МПС.4" sheetId="40" r:id="rId40"/>
    <sheet name="МПС.5" sheetId="41" r:id="rId41"/>
    <sheet name="МПС.6" sheetId="42" r:id="rId42"/>
    <sheet name="МПС.7" sheetId="43" r:id="rId43"/>
    <sheet name="МПС.9" sheetId="44" r:id="rId44"/>
    <sheet name="МПС.10" sheetId="45" r:id="rId45"/>
    <sheet name="МПС.11" sheetId="46" r:id="rId46"/>
    <sheet name="МПС.12" sheetId="47" r:id="rId47"/>
  </sheets>
  <definedNames/>
  <calcPr fullCalcOnLoad="1"/>
</workbook>
</file>

<file path=xl/sharedStrings.xml><?xml version="1.0" encoding="utf-8"?>
<sst xmlns="http://schemas.openxmlformats.org/spreadsheetml/2006/main" count="3108" uniqueCount="133">
  <si>
    <t>Старший по дому</t>
  </si>
  <si>
    <t>Согласовано:</t>
  </si>
  <si>
    <t>Остаток на 01.01.2012г.</t>
  </si>
  <si>
    <t>Сумма годовых начислений на тех.обслуживание помещений общего имущества</t>
  </si>
  <si>
    <t>Сумма на выполнение работ</t>
  </si>
  <si>
    <t>Тариф по тех.обслуживанию помещений общего пользования</t>
  </si>
  <si>
    <t>Содержание общего имущества, руб.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</si>
  <si>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</si>
  <si>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</si>
  <si>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</si>
  <si>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</si>
  <si>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</si>
  <si>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1 кв.</t>
  </si>
  <si>
    <t>2 кв.</t>
  </si>
  <si>
    <t>3 кв.</t>
  </si>
  <si>
    <t>4 кв.</t>
  </si>
  <si>
    <t>Всего затрат, руб.</t>
  </si>
  <si>
    <t>1. Тех.обслуживание помещений общего пользования:</t>
  </si>
  <si>
    <t>1.1 Обслуживание конструктивных элементов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</si>
  <si>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</si>
  <si>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</si>
  <si>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</si>
  <si>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_________________________________</t>
  </si>
  <si>
    <t>м2 общей площади</t>
  </si>
  <si>
    <t>шт</t>
  </si>
  <si>
    <t>м2 подвала</t>
  </si>
  <si>
    <t xml:space="preserve">     Директор ООО УК "Гарантия"</t>
  </si>
  <si>
    <t>лиц.сч.</t>
  </si>
  <si>
    <t>Итого:</t>
  </si>
  <si>
    <t>Всего:</t>
  </si>
  <si>
    <t>Переходящий остаток</t>
  </si>
  <si>
    <t xml:space="preserve">                         __________О.Г.Урядов</t>
  </si>
  <si>
    <t>работ по содержанию общего имущества жилого дома по адресу: ул.И.Черных, 30</t>
  </si>
  <si>
    <t>План на 2012 год.</t>
  </si>
  <si>
    <t>кв.</t>
  </si>
  <si>
    <t xml:space="preserve">ОАО "Вымпелком" </t>
  </si>
  <si>
    <t xml:space="preserve">ОАО "МегаФон" </t>
  </si>
  <si>
    <t>Теле2-Томск</t>
  </si>
  <si>
    <t>Дополнительные доходы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</si>
  <si>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</si>
  <si>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</si>
  <si>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</si>
  <si>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Итого, дополнительных доходов</t>
  </si>
  <si>
    <t>Отчисления на УК:</t>
  </si>
  <si>
    <t>По договору управления (12%)</t>
  </si>
  <si>
    <t>От дополнительных доходов (12%+15%)</t>
  </si>
  <si>
    <t>Итого, отчисления на УК</t>
  </si>
  <si>
    <t>1.8 Уборка лифтов</t>
  </si>
  <si>
    <t>1.9 Дополнительные работы по благоустройству (заказ спецтехники, уход за зелеными насаждениями и т.д.)</t>
  </si>
  <si>
    <t>1.10 Дератизация</t>
  </si>
  <si>
    <t>1.11 Услуги консьержа</t>
  </si>
  <si>
    <t>работ по содержанию общего имущества жилого дома по адресу: ул.С.Лазо, 26</t>
  </si>
  <si>
    <t>работ по содержанию общего имущества жилого дома по адресу: ул.С.Лазо, 24</t>
  </si>
  <si>
    <t xml:space="preserve">ООО "ТОМТЕЛ" </t>
  </si>
  <si>
    <t>работ по содержанию общего имущества жилого дома по адресу: ул.С.Лазо, 4/2</t>
  </si>
  <si>
    <t xml:space="preserve">работ по содержанию общего имущества жилого дома по адресу: ул.И.Черных, 97 а, </t>
  </si>
  <si>
    <t xml:space="preserve">работ по содержанию общего имущества жилого дома по адресу: ул.И.Черных, 97/4, </t>
  </si>
  <si>
    <t>работ по содержанию общего имущества жилого дома по адресу: ул.С.Лазо, 2</t>
  </si>
  <si>
    <t xml:space="preserve">работ по содержанию общего имущества жилого дома по адресу: ул.И.Черных, 89 </t>
  </si>
  <si>
    <t xml:space="preserve">работ по содержанию общего имущества жилого дома по адресу: ул.И.Черных, 91 </t>
  </si>
  <si>
    <t xml:space="preserve">работ по содержанию общего имущества жилого дома по адресу: ул.И.Черных, 95 </t>
  </si>
  <si>
    <t>работ по содержанию общего имущества жилого дома по адресу: ул.И.Черных, 95 /1</t>
  </si>
  <si>
    <t>работ по содержанию общего имущества жилого дома по адресу: ул.И.Черных, 97 /3</t>
  </si>
  <si>
    <t>работ по содержанию общего имущества жилого дома по адресу: ул.И.Черных, 99</t>
  </si>
  <si>
    <t>работ по содержанию общего имущества жилого дома по адресу: ул.Иркутский тракт, 27/3</t>
  </si>
  <si>
    <t>работ по содержанию общего имущества жилого дома по адресу: ул.Иркутский тракт, 78/1</t>
  </si>
  <si>
    <t>работ по содержанию общего имущества жилого дома по адресу: ул.Иркутский тракт, 78/2</t>
  </si>
  <si>
    <t>работ по содержанию общего имущества жилого дома по адресу: ул.Иркутский тракт, 78/3</t>
  </si>
  <si>
    <t>работ по содержанию общего имущества жилого дома по адресу: ул.Иркутский тракт, 82</t>
  </si>
  <si>
    <t>работ по содержанию общего имущества жилого дома по адресу: ул.Иркутский тракт, 84</t>
  </si>
  <si>
    <t>работ по содержанию общего имущества жилого дома по адресу: ул.Иркутский тракт, 98</t>
  </si>
  <si>
    <t>работ по содержанию общего имущества жилого дома по адресу: ул.Иркутский тракт, 104</t>
  </si>
  <si>
    <t>работ по содержанию общего имущества жилого дома по адресу: ул.Иркутский тракт, 104а</t>
  </si>
  <si>
    <t>работ по содержанию общего имущества жилого дома по адресу: ул.Иркутский тракт, 106</t>
  </si>
  <si>
    <t>работ по содержанию общего имущества жилого дома по адресу: ул.Иркутский тракт, 108</t>
  </si>
  <si>
    <t>работ по содержанию общего имущества жилого дома по адресу: ул.Иркутский тракт, 108/1</t>
  </si>
  <si>
    <t>работ по содержанию общего имущества жилого дома по адресу: ул.Иркутский тракт, 112</t>
  </si>
  <si>
    <t>работ по содержанию общего имущества жилого дома по адресу: ул.Иркутский тракт, 114</t>
  </si>
  <si>
    <t>работ по содержанию общего имущества жилого дома по адресу: ул.Иркутский тракт, 116/1</t>
  </si>
  <si>
    <t>работ по содержанию общего имущества жилого дома по адресу: пер.Карский, 33</t>
  </si>
  <si>
    <t>работ по содержанию общего имущества жилого дома по адресу: пер.Карский, 35</t>
  </si>
  <si>
    <t>работ по содержанию общего имущества жилого дома по адресу: ул.Беринга, 2</t>
  </si>
  <si>
    <t>работ по содержанию общего имущества жилого дома по адресу: ул.Беринга, 2/2</t>
  </si>
  <si>
    <t>работ по содержанию общего имущества жилого дома по адресу: ул.Мичурина, 14</t>
  </si>
  <si>
    <t>работ по содержанию общего имущества жилого дома по адресу: ул.Новосибирская, 6</t>
  </si>
  <si>
    <t>работ по содержанию общего имущества жилого дома по адресу: ул.Рабочая, 9</t>
  </si>
  <si>
    <t>работ по содержанию общего имущества жилого дома по адресу: ул.Суворова, 3</t>
  </si>
  <si>
    <t>работ по содержанию общего имущества жилого дома по адресу: ул.Суворова, 4</t>
  </si>
  <si>
    <t>работ по содержанию общего имущества жилого дома по адресу: ул.МПС,4</t>
  </si>
  <si>
    <t>работ по содержанию общего имущества жилого дома по адресу: ул.МПС,5</t>
  </si>
  <si>
    <t>работ по содержанию общего имущества жилого дома по адресу: ул.МПС,6</t>
  </si>
  <si>
    <t>работ по содержанию общего имущества жилого дома по адресу: ул.МПС,7</t>
  </si>
  <si>
    <t>работ по содержанию общего имущества жилого дома по адресу: ул.МПС,9</t>
  </si>
  <si>
    <t>работ по содержанию общего имущества жилого дома по адресу: ул.МПС,10</t>
  </si>
  <si>
    <t>По договору управления (10%)</t>
  </si>
  <si>
    <t>работ по содержанию общего имущества жилого дома по адресу: ул.МПС,11</t>
  </si>
  <si>
    <t>работ по содержанию общего имущества жилого дома по адресу: ул.МПС,12</t>
  </si>
  <si>
    <t>ТОМТЕЛ</t>
  </si>
  <si>
    <t>СибирьТелеком</t>
  </si>
  <si>
    <t>"Зап-сиб Транстелеком"</t>
  </si>
  <si>
    <t>1.11 Обслуживание внутридомового газового оборудования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</si>
  <si>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</si>
  <si>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</si>
  <si>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</si>
  <si>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</si>
  <si>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</si>
  <si>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</si>
  <si>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>2. Обслуживание приборов учета тепловой энергии:</t>
  </si>
  <si>
    <t>2.1 Обслуживание приборов учета тепловой энергии</t>
  </si>
  <si>
    <t>3.  Обслуживание лифтового хозяйства:</t>
  </si>
  <si>
    <t>3.1 Обслуживание лифтового хозяйства</t>
  </si>
  <si>
    <t>4. Вывоз мусора:</t>
  </si>
  <si>
    <t>4.1  Вывоз мусора</t>
  </si>
  <si>
    <t>5. Прочее:</t>
  </si>
  <si>
    <t>5.1 Комиссия за прием платежей (3% от оплаты за все услуги)</t>
  </si>
  <si>
    <t>5.2 Затраты на печать квитанций и обработку платежей</t>
  </si>
  <si>
    <t>Отчисления на УК 10%</t>
  </si>
  <si>
    <t>3. Вывоз мусора:</t>
  </si>
  <si>
    <t>3.1  Вывоз мусора</t>
  </si>
  <si>
    <t>4. Прочее:</t>
  </si>
  <si>
    <t>4.1 Комиссия за прием платежей (3% от оплаты за все услуги)</t>
  </si>
  <si>
    <t>4.2 Затраты на печать квитанций и обработку платежей</t>
  </si>
  <si>
    <t>Отчисления на УК  12%</t>
  </si>
  <si>
    <t>Отчисления на УК 12%</t>
  </si>
  <si>
    <t>1.12 Услуги по обслуживанию тревожной сигнализации</t>
  </si>
  <si>
    <t>1.13 Услуги по обслуживанию системы видеонаблюдения</t>
  </si>
  <si>
    <t>2. Вывоз мусора:</t>
  </si>
  <si>
    <t>2.1  Вывоз мусора</t>
  </si>
  <si>
    <t>3. Прочее:</t>
  </si>
  <si>
    <t>3.1 Комиссия за прием платежей (3% от оплаты за все услуги)</t>
  </si>
  <si>
    <t>3.2 Затраты на печать квитанций и обработку платежей</t>
  </si>
  <si>
    <t>2.1 Комиссия за прием платежей (3% от оплаты за все услуги)</t>
  </si>
  <si>
    <t>2.2 Затраты на печать квитанций и обработку платежей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</si>
</sst>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?"/>
    <numFmt numFmtId="173" formatCode="0.?????"/>
    <numFmt numFmtId="174" formatCode="0_)"/>
    <numFmt numFmtId="175" formatCode="0.00_)"/>
    <numFmt numFmtId="176" formatCode="0.0_)"/>
    <numFmt numFmtId="177" formatCode="0.?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0.??"/>
    <numFmt numFmtId="184" formatCode="0.00000000"/>
    <numFmt numFmtId="185" formatCode="0.000000000"/>
    <numFmt numFmtId="186" formatCode="0.0000000"/>
    <numFmt numFmtId="187" formatCode="0.0000000000"/>
    <numFmt numFmtId="188" formatCode="#,##0.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.000_)"/>
    <numFmt numFmtId="198" formatCode="0.0000_)"/>
    <numFmt numFmtId="199" formatCode="0.00000_)"/>
    <numFmt numFmtId="200" formatCode="0.????"/>
    <numFmt numFmtId="201" formatCode="#,##0.??"/>
    <numFmt numFmtId="202" formatCode="#,##0.???"/>
    <numFmt numFmtId="203" formatCode="#,##0.????"/>
    <numFmt numFmtId="204" formatCode="#,##0.?????"/>
    <numFmt numFmtId="205" formatCode="#,##0.000"/>
    <numFmt numFmtId="206" formatCode="#,##0.0000"/>
    <numFmt numFmtId="207" formatCode="#,##0.00000"/>
    <numFmt numFmtId="208" formatCode="_-* #,##0.0_р_._-;\-* #,##0.0_р_._-;_-* &quot;-&quot;??_р_._-;_-@_-"/>
    <numFmt numFmtId="209" formatCode="_-* #,##0_р_._-;\-* #,##0_р_._-;_-* &quot;-&quot;??_р_._-;_-@_-"/>
    <numFmt numFmtId="210" formatCode="_-* #,##0.0_р_._-;\-* #,##0.0_р_._-;_-* &quot;-&quot;?_р_._-;_-@_-"/>
    <numFmt numFmtId="211" formatCode="0.000%"/>
    <numFmt numFmtId="212" formatCode="0.0000%"/>
    <numFmt numFmtId="213" formatCode="0.00000%"/>
    <numFmt numFmtId="214" formatCode="0.000000%"/>
    <numFmt numFmtId="215" formatCode="0.0%"/>
    <numFmt numFmtId="216" formatCode="_-* #,##0.0_р_._-;\-* #,##0.0_р_._-;_-* &quot;-&quot;_р_._-;_-@_-"/>
    <numFmt numFmtId="217" formatCode="_-* #,##0.00_р_._-;\-* #,##0.00_р_._-;_-* &quot;-&quot;_р_._-;_-@_-"/>
    <numFmt numFmtId="218" formatCode="_-* #,##0.000_р_._-;\-* #,##0.000_р_._-;_-* &quot;-&quot;_р_._-;_-@_-"/>
    <numFmt numFmtId="219" formatCode="_-* #,##0.000_р_._-;\-* #,##0.000_р_._-;_-* &quot;-&quot;??_р_._-;_-@_-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23">
    <font>
      <sz val="11"/>
      <name val="Times New Roman Cyr"/>
      <family val="0"/>
    </font>
    <font>
      <u val="single"/>
      <sz val="9.55"/>
      <color indexed="12"/>
      <name val="Arial Cyr"/>
      <family val="0"/>
    </font>
    <font>
      <u val="single"/>
      <sz val="9.55"/>
      <color indexed="36"/>
      <name val="Arial Cyr"/>
      <family val="0"/>
    </font>
    <font>
      <sz val="8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b/>
      <sz val="9"/>
      <name val="Times New Roman Cyr"/>
      <family val="0"/>
    </font>
    <font>
      <i/>
      <sz val="9"/>
      <name val="Times New Roman Cyr"/>
      <family val="0"/>
    </font>
    <font>
      <sz val="8"/>
      <name val="Arial"/>
      <family val="0"/>
    </font>
    <font>
      <b/>
      <i/>
      <sz val="8"/>
      <name val="Arial"/>
      <family val="2"/>
    </font>
    <font>
      <b/>
      <i/>
      <sz val="8"/>
      <name val="Times New Roman Cyr"/>
      <family val="0"/>
    </font>
    <font>
      <b/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i/>
      <sz val="9"/>
      <name val="Garamond"/>
      <family val="1"/>
    </font>
    <font>
      <b/>
      <i/>
      <sz val="9"/>
      <name val="Garamond"/>
      <family val="1"/>
    </font>
    <font>
      <sz val="7"/>
      <name val="Times New Roman Cyr"/>
      <family val="0"/>
    </font>
    <font>
      <i/>
      <sz val="8"/>
      <name val="Arial"/>
      <family val="2"/>
    </font>
    <font>
      <sz val="8"/>
      <name val="Garamond"/>
      <family val="1"/>
    </font>
    <font>
      <i/>
      <sz val="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1" fontId="11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2" fontId="15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/>
    </xf>
    <xf numFmtId="179" fontId="15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19" fillId="0" borderId="4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10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28">
      <selection activeCell="P44" sqref="P44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2.09765625" style="0" customWidth="1"/>
    <col min="7" max="7" width="0.40625" style="0" customWidth="1"/>
    <col min="8" max="8" width="7.69921875" style="0" customWidth="1"/>
    <col min="9" max="9" width="8.3984375" style="0" customWidth="1"/>
    <col min="10" max="10" width="6.69921875" style="0" customWidth="1"/>
    <col min="11" max="11" width="6.8984375" style="0" customWidth="1"/>
    <col min="12" max="13" width="6.09765625" style="0" customWidth="1"/>
    <col min="14" max="14" width="6.3984375" style="0" customWidth="1"/>
    <col min="15" max="15" width="5.8984375" style="0" customWidth="1"/>
    <col min="16" max="16" width="6.59765625" style="0" customWidth="1"/>
    <col min="17" max="17" width="9.3984375" style="0" bestFit="1" customWidth="1"/>
  </cols>
  <sheetData>
    <row r="1" spans="1:16" ht="15">
      <c r="A1" s="54" t="s">
        <v>1</v>
      </c>
      <c r="B1" s="54"/>
      <c r="C1" s="23"/>
      <c r="D1" s="23"/>
      <c r="E1" s="23"/>
      <c r="F1" s="23"/>
      <c r="G1" s="23"/>
      <c r="H1" s="23"/>
      <c r="I1" s="23"/>
      <c r="J1" s="23"/>
      <c r="K1" s="23"/>
      <c r="L1" s="22"/>
      <c r="M1" s="24" t="s">
        <v>1</v>
      </c>
      <c r="N1" s="24"/>
      <c r="O1" s="23"/>
      <c r="P1" s="23"/>
    </row>
    <row r="2" spans="1:16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>
      <c r="A3" s="55" t="s">
        <v>0</v>
      </c>
      <c r="B3" s="55"/>
      <c r="C3" s="23"/>
      <c r="D3" s="23"/>
      <c r="E3" s="23"/>
      <c r="F3" s="23"/>
      <c r="G3" s="23"/>
      <c r="H3" s="23"/>
      <c r="I3" s="23"/>
      <c r="J3" s="23"/>
      <c r="K3" s="23"/>
      <c r="L3" s="56" t="s">
        <v>26</v>
      </c>
      <c r="M3" s="56"/>
      <c r="N3" s="56"/>
      <c r="O3" s="56"/>
      <c r="P3" s="56"/>
    </row>
    <row r="4" spans="1:16" ht="15">
      <c r="A4" s="25" t="s">
        <v>22</v>
      </c>
      <c r="B4" s="25"/>
      <c r="C4" s="25"/>
      <c r="D4" s="25" t="s">
        <v>34</v>
      </c>
      <c r="E4" s="25"/>
      <c r="F4" s="25"/>
      <c r="G4" s="25"/>
      <c r="H4" s="25"/>
      <c r="I4" s="25"/>
      <c r="J4" s="25"/>
      <c r="K4" s="25"/>
      <c r="L4" s="57" t="s">
        <v>31</v>
      </c>
      <c r="M4" s="57"/>
      <c r="N4" s="57"/>
      <c r="O4" s="57"/>
      <c r="P4" s="57"/>
    </row>
    <row r="5" spans="1:16" ht="15">
      <c r="A5" s="25" t="s">
        <v>22</v>
      </c>
      <c r="B5" s="25"/>
      <c r="C5" s="25"/>
      <c r="D5" s="25" t="s">
        <v>34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5">
      <c r="A6" s="58" t="s">
        <v>33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>
      <c r="A7" s="59" t="s">
        <v>52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53.25" customHeight="1">
      <c r="A9" s="60"/>
      <c r="B9" s="60"/>
      <c r="C9" s="60"/>
      <c r="D9" s="60"/>
      <c r="E9" s="60"/>
      <c r="F9" s="60"/>
      <c r="G9" s="60"/>
      <c r="H9" s="60"/>
      <c r="I9" s="27" t="s">
        <v>6</v>
      </c>
      <c r="J9" s="25"/>
      <c r="K9" s="25"/>
      <c r="L9" s="25"/>
      <c r="M9" s="25"/>
      <c r="N9" s="25"/>
      <c r="O9" s="25"/>
      <c r="P9" s="25"/>
    </row>
    <row r="10" spans="1:16" ht="15" customHeight="1">
      <c r="A10" s="61" t="s">
        <v>2</v>
      </c>
      <c r="B10" s="61"/>
      <c r="C10" s="61"/>
      <c r="D10" s="61"/>
      <c r="E10" s="61"/>
      <c r="F10" s="61"/>
      <c r="G10" s="61"/>
      <c r="H10" s="61"/>
      <c r="I10" s="27">
        <v>0</v>
      </c>
      <c r="J10" s="25"/>
      <c r="K10" s="25"/>
      <c r="L10" s="25"/>
      <c r="M10" s="25"/>
      <c r="N10" s="25"/>
      <c r="O10" s="25"/>
      <c r="P10" s="25"/>
    </row>
    <row r="11" spans="1:16" ht="22.5" customHeight="1">
      <c r="A11" s="61" t="s">
        <v>3</v>
      </c>
      <c r="B11" s="61"/>
      <c r="C11" s="61"/>
      <c r="D11" s="61"/>
      <c r="E11" s="61"/>
      <c r="F11" s="61"/>
      <c r="G11" s="61"/>
      <c r="H11" s="61"/>
      <c r="I11" s="33">
        <f>(K28*5.79*12)+(1162.8*2.53*12)+(53.1*3.93*12)</f>
        <v>832296.708</v>
      </c>
      <c r="J11" s="25"/>
      <c r="K11" s="25"/>
      <c r="L11" s="25"/>
      <c r="M11" s="25"/>
      <c r="N11" s="25"/>
      <c r="O11" s="25"/>
      <c r="P11" s="25"/>
    </row>
    <row r="12" spans="1:16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K28*I20*12</f>
        <v>72725.328</v>
      </c>
      <c r="J12" s="25"/>
      <c r="K12" s="25"/>
      <c r="L12" s="25"/>
      <c r="M12" s="25"/>
      <c r="N12" s="25"/>
      <c r="O12" s="25"/>
      <c r="P12" s="25"/>
    </row>
    <row r="13" spans="1:16" ht="22.5" customHeight="1">
      <c r="A13" s="62" t="s">
        <v>105</v>
      </c>
      <c r="B13" s="62"/>
      <c r="C13" s="62"/>
      <c r="D13" s="62"/>
      <c r="E13" s="62"/>
      <c r="F13" s="62"/>
      <c r="G13" s="62"/>
      <c r="H13" s="62"/>
      <c r="I13" s="8">
        <f>K40*I21*12</f>
        <v>369115.344</v>
      </c>
      <c r="J13" s="25"/>
      <c r="K13" s="25"/>
      <c r="L13" s="25"/>
      <c r="M13" s="25"/>
      <c r="N13" s="25"/>
      <c r="O13" s="25"/>
      <c r="P13" s="25"/>
    </row>
    <row r="14" spans="1:16" ht="14.25" customHeight="1">
      <c r="A14" s="62" t="s">
        <v>106</v>
      </c>
      <c r="B14" s="62"/>
      <c r="C14" s="62"/>
      <c r="D14" s="62"/>
      <c r="E14" s="62"/>
      <c r="F14" s="62"/>
      <c r="G14" s="62"/>
      <c r="H14" s="62"/>
      <c r="I14" s="8">
        <f>K33*I22*12</f>
        <v>300506.544</v>
      </c>
      <c r="J14" s="25"/>
      <c r="K14" s="25"/>
      <c r="L14" s="25"/>
      <c r="M14" s="25"/>
      <c r="N14" s="25"/>
      <c r="O14" s="25"/>
      <c r="P14" s="25"/>
    </row>
    <row r="15" spans="1:16" ht="11.25" customHeight="1">
      <c r="A15" s="63" t="s">
        <v>43</v>
      </c>
      <c r="B15" s="64"/>
      <c r="C15" s="64"/>
      <c r="D15" s="64"/>
      <c r="E15" s="64"/>
      <c r="F15" s="64"/>
      <c r="G15" s="64"/>
      <c r="H15" s="65"/>
      <c r="I15" s="34"/>
      <c r="J15" s="25"/>
      <c r="K15" s="25"/>
      <c r="L15" s="25"/>
      <c r="M15" s="25"/>
      <c r="N15" s="25"/>
      <c r="O15" s="25"/>
      <c r="P15" s="25"/>
    </row>
    <row r="16" spans="1:16" ht="12" customHeight="1">
      <c r="A16" s="66" t="s">
        <v>94</v>
      </c>
      <c r="B16" s="67"/>
      <c r="C16" s="67"/>
      <c r="D16" s="67"/>
      <c r="E16" s="67"/>
      <c r="F16" s="67"/>
      <c r="G16" s="67"/>
      <c r="H16" s="68"/>
      <c r="I16" s="39">
        <f>SUM(I11+I12+I13+I14)*10%</f>
        <v>157464.3924</v>
      </c>
      <c r="J16" s="25"/>
      <c r="K16" s="25"/>
      <c r="L16" s="25"/>
      <c r="M16" s="25"/>
      <c r="N16" s="25"/>
      <c r="O16" s="25"/>
      <c r="P16" s="25"/>
    </row>
    <row r="17" spans="1:16" ht="12" customHeight="1">
      <c r="A17" s="69" t="s">
        <v>46</v>
      </c>
      <c r="B17" s="70"/>
      <c r="C17" s="70"/>
      <c r="D17" s="70"/>
      <c r="E17" s="70"/>
      <c r="F17" s="70"/>
      <c r="G17" s="70"/>
      <c r="H17" s="71"/>
      <c r="I17" s="33">
        <f>I16</f>
        <v>157464.3924</v>
      </c>
      <c r="J17" s="25"/>
      <c r="K17" s="25"/>
      <c r="L17" s="25"/>
      <c r="M17" s="25"/>
      <c r="N17" s="25"/>
      <c r="O17" s="25"/>
      <c r="P17" s="25"/>
    </row>
    <row r="18" spans="1:16" ht="13.5" customHeight="1">
      <c r="A18" s="72" t="s">
        <v>4</v>
      </c>
      <c r="B18" s="72"/>
      <c r="C18" s="72"/>
      <c r="D18" s="72"/>
      <c r="E18" s="72"/>
      <c r="F18" s="72"/>
      <c r="G18" s="72"/>
      <c r="H18" s="72"/>
      <c r="I18" s="32">
        <f>SUM(I11:I14)-I17</f>
        <v>1417179.5315999999</v>
      </c>
      <c r="J18" s="25"/>
      <c r="K18" s="25"/>
      <c r="L18" s="25"/>
      <c r="M18" s="25"/>
      <c r="N18" s="25"/>
      <c r="O18" s="25"/>
      <c r="P18" s="25"/>
    </row>
    <row r="19" spans="1:16" ht="12.75" customHeight="1">
      <c r="A19" s="61" t="s">
        <v>5</v>
      </c>
      <c r="B19" s="61"/>
      <c r="C19" s="61"/>
      <c r="D19" s="61"/>
      <c r="E19" s="61"/>
      <c r="F19" s="61"/>
      <c r="G19" s="61"/>
      <c r="H19" s="61"/>
      <c r="I19" s="28">
        <v>5.79</v>
      </c>
      <c r="J19" s="25"/>
      <c r="K19" s="25"/>
      <c r="L19" s="25"/>
      <c r="M19" s="25"/>
      <c r="N19" s="25"/>
      <c r="O19" s="25"/>
      <c r="P19" s="25"/>
    </row>
    <row r="20" spans="1:16" ht="13.5" customHeight="1">
      <c r="A20" s="62" t="s">
        <v>101</v>
      </c>
      <c r="B20" s="62"/>
      <c r="C20" s="62"/>
      <c r="D20" s="62"/>
      <c r="E20" s="62"/>
      <c r="F20" s="62"/>
      <c r="G20" s="62"/>
      <c r="H20" s="62"/>
      <c r="I20" s="6">
        <v>0.53</v>
      </c>
      <c r="J20" s="25"/>
      <c r="K20" s="25"/>
      <c r="L20" s="25"/>
      <c r="M20" s="25"/>
      <c r="N20" s="25"/>
      <c r="O20" s="25"/>
      <c r="P20" s="25"/>
    </row>
    <row r="21" spans="1:16" ht="13.5" customHeight="1">
      <c r="A21" s="62" t="s">
        <v>102</v>
      </c>
      <c r="B21" s="62"/>
      <c r="C21" s="62"/>
      <c r="D21" s="62"/>
      <c r="E21" s="62"/>
      <c r="F21" s="62"/>
      <c r="G21" s="62"/>
      <c r="H21" s="62"/>
      <c r="I21" s="6">
        <v>2.69</v>
      </c>
      <c r="J21" s="25"/>
      <c r="K21" s="25"/>
      <c r="L21" s="25"/>
      <c r="M21" s="25"/>
      <c r="N21" s="25"/>
      <c r="O21" s="25"/>
      <c r="P21" s="25"/>
    </row>
    <row r="22" spans="1:16" ht="14.25" customHeight="1">
      <c r="A22" s="62" t="s">
        <v>103</v>
      </c>
      <c r="B22" s="62"/>
      <c r="C22" s="62"/>
      <c r="D22" s="62"/>
      <c r="E22" s="62"/>
      <c r="F22" s="62"/>
      <c r="G22" s="62"/>
      <c r="H22" s="62"/>
      <c r="I22" s="6">
        <v>2.19</v>
      </c>
      <c r="J22" s="25"/>
      <c r="K22" s="25"/>
      <c r="L22" s="25"/>
      <c r="M22" s="25"/>
      <c r="N22" s="25"/>
      <c r="O22" s="25"/>
      <c r="P22" s="25"/>
    </row>
    <row r="23" spans="1:16" ht="12" customHeight="1">
      <c r="A23" s="73"/>
      <c r="B23" s="73"/>
      <c r="C23" s="73"/>
      <c r="D23" s="73"/>
      <c r="E23" s="73"/>
      <c r="F23" s="73"/>
      <c r="G23" s="73"/>
      <c r="H23" s="73"/>
      <c r="I23" s="73"/>
      <c r="J23" s="25"/>
      <c r="K23" s="25"/>
      <c r="L23" s="25"/>
      <c r="M23" s="25"/>
      <c r="N23" s="25"/>
      <c r="O23" s="25"/>
      <c r="P23" s="25"/>
    </row>
    <row r="24" spans="1:16" ht="15" customHeight="1">
      <c r="A24" s="74" t="s">
        <v>7</v>
      </c>
      <c r="B24" s="74"/>
      <c r="C24" s="74"/>
      <c r="D24" s="74"/>
      <c r="E24" s="74"/>
      <c r="F24" s="74"/>
      <c r="G24" s="74"/>
      <c r="H24" s="74"/>
      <c r="I24" s="75" t="s">
        <v>8</v>
      </c>
      <c r="J24" s="75" t="s">
        <v>9</v>
      </c>
      <c r="K24" s="75" t="s">
        <v>10</v>
      </c>
      <c r="L24" s="77" t="s">
        <v>11</v>
      </c>
      <c r="M24" s="77"/>
      <c r="N24" s="77"/>
      <c r="O24" s="78"/>
      <c r="P24" s="74" t="s">
        <v>16</v>
      </c>
    </row>
    <row r="25" spans="1:16" ht="21" customHeight="1">
      <c r="A25" s="74"/>
      <c r="B25" s="74"/>
      <c r="C25" s="74"/>
      <c r="D25" s="74"/>
      <c r="E25" s="74"/>
      <c r="F25" s="74"/>
      <c r="G25" s="74"/>
      <c r="H25" s="74"/>
      <c r="I25" s="76"/>
      <c r="J25" s="76"/>
      <c r="K25" s="76"/>
      <c r="L25" s="40" t="s">
        <v>12</v>
      </c>
      <c r="M25" s="40" t="s">
        <v>13</v>
      </c>
      <c r="N25" s="40" t="s">
        <v>14</v>
      </c>
      <c r="O25" s="40" t="s">
        <v>15</v>
      </c>
      <c r="P25" s="74"/>
    </row>
    <row r="26" spans="1:16" ht="13.5" customHeight="1">
      <c r="A26" s="79" t="s">
        <v>17</v>
      </c>
      <c r="B26" s="80"/>
      <c r="C26" s="80"/>
      <c r="D26" s="80"/>
      <c r="E26" s="80"/>
      <c r="F26" s="80"/>
      <c r="G26" s="80"/>
      <c r="H26" s="81"/>
      <c r="I26" s="30"/>
      <c r="J26" s="30"/>
      <c r="K26" s="30"/>
      <c r="L26" s="29"/>
      <c r="M26" s="29"/>
      <c r="N26" s="29"/>
      <c r="O26" s="29"/>
      <c r="P26" s="30"/>
    </row>
    <row r="27" spans="1:17" ht="14.25" customHeight="1">
      <c r="A27" s="82" t="s">
        <v>18</v>
      </c>
      <c r="B27" s="83"/>
      <c r="C27" s="83"/>
      <c r="D27" s="83"/>
      <c r="E27" s="83"/>
      <c r="F27" s="83"/>
      <c r="G27" s="83"/>
      <c r="H27" s="50"/>
      <c r="I27" s="30"/>
      <c r="J27" s="30"/>
      <c r="K27" s="31"/>
      <c r="L27" s="33">
        <f aca="true" t="shared" si="0" ref="L27:L35">P27/4</f>
        <v>9500</v>
      </c>
      <c r="M27" s="33">
        <f aca="true" t="shared" si="1" ref="M27:M33">P27/4</f>
        <v>9500</v>
      </c>
      <c r="N27" s="33">
        <f aca="true" t="shared" si="2" ref="N27:N33">P27/4</f>
        <v>9500</v>
      </c>
      <c r="O27" s="33">
        <f aca="true" t="shared" si="3" ref="O27:O33">P27/4</f>
        <v>9500</v>
      </c>
      <c r="P27" s="33">
        <v>38000</v>
      </c>
      <c r="Q27" s="15"/>
    </row>
    <row r="28" spans="1:18" ht="27.75" customHeight="1">
      <c r="A28" s="82" t="s">
        <v>19</v>
      </c>
      <c r="B28" s="83"/>
      <c r="C28" s="83"/>
      <c r="D28" s="83"/>
      <c r="E28" s="83"/>
      <c r="F28" s="83"/>
      <c r="G28" s="83"/>
      <c r="H28" s="50"/>
      <c r="I28" s="27" t="s">
        <v>23</v>
      </c>
      <c r="J28" s="29">
        <v>0.52</v>
      </c>
      <c r="K28" s="36">
        <v>11434.8</v>
      </c>
      <c r="L28" s="33">
        <f t="shared" si="0"/>
        <v>17838.288</v>
      </c>
      <c r="M28" s="33">
        <f t="shared" si="1"/>
        <v>17838.288</v>
      </c>
      <c r="N28" s="33">
        <f t="shared" si="2"/>
        <v>17838.288</v>
      </c>
      <c r="O28" s="33">
        <f t="shared" si="3"/>
        <v>17838.288</v>
      </c>
      <c r="P28" s="33">
        <f>K28*J28*12</f>
        <v>71353.152</v>
      </c>
      <c r="R28" s="12"/>
    </row>
    <row r="29" spans="1:16" ht="28.5" customHeight="1">
      <c r="A29" s="82" t="s">
        <v>20</v>
      </c>
      <c r="B29" s="83"/>
      <c r="C29" s="83"/>
      <c r="D29" s="83"/>
      <c r="E29" s="83"/>
      <c r="F29" s="83"/>
      <c r="G29" s="83"/>
      <c r="H29" s="50"/>
      <c r="I29" s="27" t="s">
        <v>23</v>
      </c>
      <c r="J29" s="29">
        <v>0.9</v>
      </c>
      <c r="K29" s="36">
        <v>11434.8</v>
      </c>
      <c r="L29" s="33">
        <f t="shared" si="0"/>
        <v>30873.96</v>
      </c>
      <c r="M29" s="33">
        <f t="shared" si="1"/>
        <v>30873.96</v>
      </c>
      <c r="N29" s="33">
        <f t="shared" si="2"/>
        <v>30873.96</v>
      </c>
      <c r="O29" s="33">
        <f t="shared" si="3"/>
        <v>30873.96</v>
      </c>
      <c r="P29" s="33">
        <f>K29*J29*12</f>
        <v>123495.84</v>
      </c>
    </row>
    <row r="30" spans="1:16" ht="28.5" customHeight="1">
      <c r="A30" s="82" t="s">
        <v>21</v>
      </c>
      <c r="B30" s="83"/>
      <c r="C30" s="83"/>
      <c r="D30" s="83"/>
      <c r="E30" s="83"/>
      <c r="F30" s="83"/>
      <c r="G30" s="83"/>
      <c r="H30" s="50"/>
      <c r="I30" s="27" t="s">
        <v>23</v>
      </c>
      <c r="J30" s="29">
        <v>0.38</v>
      </c>
      <c r="K30" s="36">
        <v>11434.8</v>
      </c>
      <c r="L30" s="33">
        <f t="shared" si="0"/>
        <v>13035.672</v>
      </c>
      <c r="M30" s="33">
        <f t="shared" si="1"/>
        <v>13035.672</v>
      </c>
      <c r="N30" s="33">
        <f t="shared" si="2"/>
        <v>13035.672</v>
      </c>
      <c r="O30" s="33">
        <f t="shared" si="3"/>
        <v>13035.672</v>
      </c>
      <c r="P30" s="33">
        <f>K30*J30*12</f>
        <v>52142.688</v>
      </c>
    </row>
    <row r="31" spans="1:16" ht="24.75" customHeight="1">
      <c r="A31" s="51" t="s">
        <v>39</v>
      </c>
      <c r="B31" s="52"/>
      <c r="C31" s="52"/>
      <c r="D31" s="52"/>
      <c r="E31" s="52"/>
      <c r="F31" s="52"/>
      <c r="G31" s="52"/>
      <c r="H31" s="53"/>
      <c r="I31" s="27" t="s">
        <v>23</v>
      </c>
      <c r="J31" s="29"/>
      <c r="K31" s="33"/>
      <c r="L31" s="33">
        <f t="shared" si="0"/>
        <v>10500</v>
      </c>
      <c r="M31" s="33">
        <f t="shared" si="1"/>
        <v>10500</v>
      </c>
      <c r="N31" s="33">
        <f t="shared" si="2"/>
        <v>10500</v>
      </c>
      <c r="O31" s="33">
        <f t="shared" si="3"/>
        <v>10500</v>
      </c>
      <c r="P31" s="33">
        <v>42000</v>
      </c>
    </row>
    <row r="32" spans="1:16" ht="25.5" customHeight="1">
      <c r="A32" s="82" t="s">
        <v>40</v>
      </c>
      <c r="B32" s="83"/>
      <c r="C32" s="83"/>
      <c r="D32" s="83"/>
      <c r="E32" s="83"/>
      <c r="F32" s="83"/>
      <c r="G32" s="83"/>
      <c r="H32" s="50"/>
      <c r="I32" s="27" t="s">
        <v>23</v>
      </c>
      <c r="J32" s="29">
        <v>0.95</v>
      </c>
      <c r="K32" s="36">
        <v>11434.8</v>
      </c>
      <c r="L32" s="33">
        <f t="shared" si="0"/>
        <v>32589.18</v>
      </c>
      <c r="M32" s="33">
        <f t="shared" si="1"/>
        <v>32589.18</v>
      </c>
      <c r="N32" s="33">
        <f t="shared" si="2"/>
        <v>32589.18</v>
      </c>
      <c r="O32" s="33">
        <f t="shared" si="3"/>
        <v>32589.18</v>
      </c>
      <c r="P32" s="33">
        <f>J32*K32*12</f>
        <v>130356.72</v>
      </c>
    </row>
    <row r="33" spans="1:16" ht="26.25" customHeight="1">
      <c r="A33" s="82" t="s">
        <v>41</v>
      </c>
      <c r="B33" s="83"/>
      <c r="C33" s="83"/>
      <c r="D33" s="83"/>
      <c r="E33" s="83"/>
      <c r="F33" s="83"/>
      <c r="G33" s="83"/>
      <c r="H33" s="50"/>
      <c r="I33" s="27" t="s">
        <v>23</v>
      </c>
      <c r="J33" s="29">
        <v>0.8</v>
      </c>
      <c r="K33" s="36">
        <v>11434.8</v>
      </c>
      <c r="L33" s="33">
        <f t="shared" si="0"/>
        <v>27443.52</v>
      </c>
      <c r="M33" s="33">
        <f t="shared" si="1"/>
        <v>27443.52</v>
      </c>
      <c r="N33" s="33">
        <f t="shared" si="2"/>
        <v>27443.52</v>
      </c>
      <c r="O33" s="33">
        <f t="shared" si="3"/>
        <v>27443.52</v>
      </c>
      <c r="P33" s="33">
        <f>J33*K33*12</f>
        <v>109774.08</v>
      </c>
    </row>
    <row r="34" spans="1:18" ht="18" customHeight="1">
      <c r="A34" s="82" t="s">
        <v>47</v>
      </c>
      <c r="B34" s="83"/>
      <c r="C34" s="83"/>
      <c r="D34" s="83"/>
      <c r="E34" s="83"/>
      <c r="F34" s="83"/>
      <c r="G34" s="83"/>
      <c r="H34" s="50"/>
      <c r="I34" s="27" t="s">
        <v>24</v>
      </c>
      <c r="J34" s="29">
        <v>200</v>
      </c>
      <c r="K34" s="33">
        <v>6</v>
      </c>
      <c r="L34" s="33">
        <f t="shared" si="0"/>
        <v>3600</v>
      </c>
      <c r="M34" s="33">
        <v>3600</v>
      </c>
      <c r="N34" s="33">
        <v>3600</v>
      </c>
      <c r="O34" s="33">
        <v>3600</v>
      </c>
      <c r="P34" s="33">
        <f>J34*K34*12</f>
        <v>14400</v>
      </c>
      <c r="R34" s="12"/>
    </row>
    <row r="35" spans="1:17" ht="29.25" customHeight="1">
      <c r="A35" s="51" t="s">
        <v>48</v>
      </c>
      <c r="B35" s="52"/>
      <c r="C35" s="52"/>
      <c r="D35" s="52"/>
      <c r="E35" s="52"/>
      <c r="F35" s="52"/>
      <c r="G35" s="52"/>
      <c r="H35" s="53"/>
      <c r="I35" s="30"/>
      <c r="J35" s="29"/>
      <c r="K35" s="35"/>
      <c r="L35" s="33">
        <f t="shared" si="0"/>
        <v>27273</v>
      </c>
      <c r="M35" s="33">
        <f>P35/4</f>
        <v>27273</v>
      </c>
      <c r="N35" s="33">
        <f>P35/4</f>
        <v>27273</v>
      </c>
      <c r="O35" s="33">
        <f>P35/4</f>
        <v>27273</v>
      </c>
      <c r="P35" s="33">
        <v>109092</v>
      </c>
      <c r="Q35" s="21"/>
    </row>
    <row r="36" spans="1:18" ht="15">
      <c r="A36" s="82" t="s">
        <v>49</v>
      </c>
      <c r="B36" s="83"/>
      <c r="C36" s="83"/>
      <c r="D36" s="83"/>
      <c r="E36" s="83"/>
      <c r="F36" s="83"/>
      <c r="G36" s="83"/>
      <c r="H36" s="50"/>
      <c r="I36" s="29" t="s">
        <v>25</v>
      </c>
      <c r="J36" s="29">
        <v>1</v>
      </c>
      <c r="K36" s="36">
        <v>2538.3</v>
      </c>
      <c r="L36" s="33"/>
      <c r="M36" s="33">
        <f>P36/2</f>
        <v>1269.15</v>
      </c>
      <c r="N36" s="33"/>
      <c r="O36" s="33">
        <v>1269.2</v>
      </c>
      <c r="P36" s="33">
        <f>K36*J36</f>
        <v>2538.3</v>
      </c>
      <c r="R36" s="12"/>
    </row>
    <row r="37" spans="1:18" ht="12.75" customHeight="1">
      <c r="A37" s="45" t="s">
        <v>107</v>
      </c>
      <c r="B37" s="46"/>
      <c r="C37" s="46"/>
      <c r="D37" s="46"/>
      <c r="E37" s="46"/>
      <c r="F37" s="46"/>
      <c r="G37" s="46"/>
      <c r="H37" s="47"/>
      <c r="I37" s="6"/>
      <c r="J37" s="6"/>
      <c r="K37" s="36"/>
      <c r="L37" s="33"/>
      <c r="M37" s="33"/>
      <c r="N37" s="33"/>
      <c r="O37" s="33"/>
      <c r="P37" s="33"/>
      <c r="R37" s="12"/>
    </row>
    <row r="38" spans="1:18" ht="22.5">
      <c r="A38" s="48" t="s">
        <v>108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0.48</v>
      </c>
      <c r="K38" s="36">
        <v>11434.8</v>
      </c>
      <c r="L38" s="33">
        <f>P38/4</f>
        <v>16466.112</v>
      </c>
      <c r="M38" s="33">
        <f>P38/4</f>
        <v>16466.112</v>
      </c>
      <c r="N38" s="33">
        <f>P38/4</f>
        <v>16466.112</v>
      </c>
      <c r="O38" s="33">
        <f>P38/4</f>
        <v>16466.112</v>
      </c>
      <c r="P38" s="33">
        <f>K38*J38*12</f>
        <v>65864.448</v>
      </c>
      <c r="R38" s="12"/>
    </row>
    <row r="39" spans="1:18" ht="15">
      <c r="A39" s="45" t="s">
        <v>109</v>
      </c>
      <c r="B39" s="46"/>
      <c r="C39" s="46"/>
      <c r="D39" s="46"/>
      <c r="E39" s="46"/>
      <c r="F39" s="46"/>
      <c r="G39" s="46"/>
      <c r="H39" s="47"/>
      <c r="I39" s="6"/>
      <c r="J39" s="6"/>
      <c r="K39" s="36"/>
      <c r="L39" s="33"/>
      <c r="M39" s="33"/>
      <c r="N39" s="33"/>
      <c r="O39" s="33"/>
      <c r="P39" s="33"/>
      <c r="R39" s="12"/>
    </row>
    <row r="40" spans="1:18" ht="22.5">
      <c r="A40" s="48" t="s">
        <v>110</v>
      </c>
      <c r="B40" s="49"/>
      <c r="C40" s="49"/>
      <c r="D40" s="49"/>
      <c r="E40" s="49"/>
      <c r="F40" s="49"/>
      <c r="G40" s="49"/>
      <c r="H40" s="84"/>
      <c r="I40" s="4" t="s">
        <v>23</v>
      </c>
      <c r="J40" s="6">
        <v>2.34</v>
      </c>
      <c r="K40" s="36">
        <v>11434.8</v>
      </c>
      <c r="L40" s="33">
        <f>P40/4</f>
        <v>80272.29599999999</v>
      </c>
      <c r="M40" s="33">
        <f>P40/4</f>
        <v>80272.29599999999</v>
      </c>
      <c r="N40" s="33">
        <f>P40/4</f>
        <v>80272.29599999999</v>
      </c>
      <c r="O40" s="33">
        <f>P40/4</f>
        <v>80272.29599999999</v>
      </c>
      <c r="P40" s="33">
        <f>K40*J40*12</f>
        <v>321089.18399999995</v>
      </c>
      <c r="R40" s="12"/>
    </row>
    <row r="41" spans="1:18" ht="12.75" customHeight="1">
      <c r="A41" s="45" t="s">
        <v>111</v>
      </c>
      <c r="B41" s="46"/>
      <c r="C41" s="46"/>
      <c r="D41" s="46"/>
      <c r="E41" s="46"/>
      <c r="F41" s="46"/>
      <c r="G41" s="46"/>
      <c r="H41" s="47"/>
      <c r="I41" s="4"/>
      <c r="J41" s="6"/>
      <c r="K41" s="36"/>
      <c r="L41" s="33"/>
      <c r="M41" s="33"/>
      <c r="N41" s="33"/>
      <c r="O41" s="33"/>
      <c r="P41" s="33"/>
      <c r="R41" s="12"/>
    </row>
    <row r="42" spans="1:18" ht="22.5">
      <c r="A42" s="48" t="s">
        <v>112</v>
      </c>
      <c r="B42" s="49"/>
      <c r="C42" s="49"/>
      <c r="D42" s="49"/>
      <c r="E42" s="49"/>
      <c r="F42" s="49"/>
      <c r="G42" s="49"/>
      <c r="H42" s="84"/>
      <c r="I42" s="4" t="s">
        <v>23</v>
      </c>
      <c r="J42" s="6">
        <v>1.9</v>
      </c>
      <c r="K42" s="36">
        <v>11434.8</v>
      </c>
      <c r="L42" s="33">
        <f>P42/4</f>
        <v>65178.36</v>
      </c>
      <c r="M42" s="33">
        <f>P42/4</f>
        <v>65178.36</v>
      </c>
      <c r="N42" s="33">
        <f>P42/4</f>
        <v>65178.36</v>
      </c>
      <c r="O42" s="33">
        <f>P42/4</f>
        <v>65178.36</v>
      </c>
      <c r="P42" s="33">
        <f>K42*J42*12</f>
        <v>260713.44</v>
      </c>
      <c r="R42" s="12"/>
    </row>
    <row r="43" spans="1:16" ht="15">
      <c r="A43" s="45" t="s">
        <v>113</v>
      </c>
      <c r="B43" s="46"/>
      <c r="C43" s="46"/>
      <c r="D43" s="46"/>
      <c r="E43" s="46"/>
      <c r="F43" s="46"/>
      <c r="G43" s="46"/>
      <c r="H43" s="47"/>
      <c r="I43" s="5"/>
      <c r="J43" s="6"/>
      <c r="K43" s="35"/>
      <c r="L43" s="35"/>
      <c r="M43" s="35"/>
      <c r="N43" s="35"/>
      <c r="O43" s="35"/>
      <c r="P43" s="33"/>
    </row>
    <row r="44" spans="1:16" ht="13.5" customHeight="1">
      <c r="A44" s="85" t="s">
        <v>114</v>
      </c>
      <c r="B44" s="86"/>
      <c r="C44" s="86"/>
      <c r="D44" s="86"/>
      <c r="E44" s="86"/>
      <c r="F44" s="86"/>
      <c r="G44" s="86"/>
      <c r="H44" s="87"/>
      <c r="I44" s="2"/>
      <c r="J44" s="6"/>
      <c r="K44" s="35"/>
      <c r="L44" s="33">
        <f>P44/4</f>
        <v>16466</v>
      </c>
      <c r="M44" s="33">
        <f>P44/4</f>
        <v>16466</v>
      </c>
      <c r="N44" s="33">
        <f>P44/4</f>
        <v>16466</v>
      </c>
      <c r="O44" s="33">
        <f>P44/4</f>
        <v>16466</v>
      </c>
      <c r="P44" s="33">
        <v>65864</v>
      </c>
    </row>
    <row r="45" spans="1:16" ht="12.75" customHeight="1">
      <c r="A45" s="85" t="s">
        <v>115</v>
      </c>
      <c r="B45" s="86"/>
      <c r="C45" s="86"/>
      <c r="D45" s="86"/>
      <c r="E45" s="86"/>
      <c r="F45" s="86"/>
      <c r="G45" s="86"/>
      <c r="H45" s="87"/>
      <c r="I45" s="6" t="s">
        <v>27</v>
      </c>
      <c r="J45" s="6">
        <v>3.94</v>
      </c>
      <c r="K45" s="33">
        <v>222</v>
      </c>
      <c r="L45" s="33">
        <f>J45*K45*3</f>
        <v>2624.04</v>
      </c>
      <c r="M45" s="33">
        <f>L45</f>
        <v>2624.04</v>
      </c>
      <c r="N45" s="33">
        <f>M45</f>
        <v>2624.04</v>
      </c>
      <c r="O45" s="33">
        <f>N45</f>
        <v>2624.04</v>
      </c>
      <c r="P45" s="33">
        <f>J45*K45*12</f>
        <v>10496.16</v>
      </c>
    </row>
    <row r="46" spans="1:17" ht="12.75" customHeight="1">
      <c r="A46" s="45" t="s">
        <v>28</v>
      </c>
      <c r="B46" s="46"/>
      <c r="C46" s="46"/>
      <c r="D46" s="46"/>
      <c r="E46" s="46"/>
      <c r="F46" s="46"/>
      <c r="G46" s="46"/>
      <c r="H46" s="47"/>
      <c r="I46" s="2"/>
      <c r="J46" s="6"/>
      <c r="K46" s="31"/>
      <c r="L46" s="32">
        <f>SUM(L27:L45)</f>
        <v>353660.42799999996</v>
      </c>
      <c r="M46" s="32">
        <f>SUM(M27:M45)</f>
        <v>354929.5779999999</v>
      </c>
      <c r="N46" s="32">
        <f>SUM(N27:N45)</f>
        <v>353660.42799999996</v>
      </c>
      <c r="O46" s="32">
        <f>SUM(O27:O45)</f>
        <v>354929.62799999997</v>
      </c>
      <c r="P46" s="32">
        <f>SUM(P27:P45)</f>
        <v>1417180.0119999999</v>
      </c>
      <c r="Q46" s="15"/>
    </row>
    <row r="47" spans="1:16" ht="12" customHeight="1">
      <c r="A47" s="85" t="s">
        <v>116</v>
      </c>
      <c r="B47" s="86"/>
      <c r="C47" s="86"/>
      <c r="D47" s="86"/>
      <c r="E47" s="86"/>
      <c r="F47" s="86"/>
      <c r="G47" s="86"/>
      <c r="H47" s="87"/>
      <c r="I47" s="2"/>
      <c r="J47" s="6"/>
      <c r="K47" s="31"/>
      <c r="L47" s="32"/>
      <c r="M47" s="32"/>
      <c r="N47" s="32"/>
      <c r="O47" s="32"/>
      <c r="P47" s="33">
        <f>I17</f>
        <v>157464.3924</v>
      </c>
    </row>
    <row r="48" spans="1:16" ht="12.75" customHeight="1">
      <c r="A48" s="88" t="s">
        <v>29</v>
      </c>
      <c r="B48" s="89"/>
      <c r="C48" s="89"/>
      <c r="D48" s="89"/>
      <c r="E48" s="89"/>
      <c r="F48" s="89"/>
      <c r="G48" s="89"/>
      <c r="H48" s="90"/>
      <c r="I48" s="2"/>
      <c r="J48" s="6"/>
      <c r="K48" s="31"/>
      <c r="L48" s="32"/>
      <c r="M48" s="32"/>
      <c r="N48" s="32"/>
      <c r="O48" s="32"/>
      <c r="P48" s="32">
        <f>P46+P47</f>
        <v>1574644.4043999999</v>
      </c>
    </row>
    <row r="49" spans="1:19" ht="10.5" customHeight="1">
      <c r="A49" s="48" t="s">
        <v>30</v>
      </c>
      <c r="B49" s="49"/>
      <c r="C49" s="49"/>
      <c r="D49" s="49"/>
      <c r="E49" s="49"/>
      <c r="F49" s="49"/>
      <c r="G49" s="49"/>
      <c r="H49" s="84"/>
      <c r="I49" s="2"/>
      <c r="J49" s="6"/>
      <c r="K49" s="30"/>
      <c r="L49" s="35"/>
      <c r="M49" s="35"/>
      <c r="N49" s="35"/>
      <c r="O49" s="35"/>
      <c r="P49" s="33">
        <v>0</v>
      </c>
      <c r="Q49" s="15"/>
      <c r="S49" s="15"/>
    </row>
    <row r="50" spans="1:1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mergeCells count="51">
    <mergeCell ref="A47:H47"/>
    <mergeCell ref="A48:H48"/>
    <mergeCell ref="A49:H49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K24:K25"/>
    <mergeCell ref="L24:O24"/>
    <mergeCell ref="P24:P25"/>
    <mergeCell ref="A26:H26"/>
    <mergeCell ref="A23:I23"/>
    <mergeCell ref="A24:H25"/>
    <mergeCell ref="I24:I25"/>
    <mergeCell ref="J24:J25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5">
      <selection activeCell="P41" sqref="P41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7" width="0.8984375" style="0" customWidth="1"/>
    <col min="8" max="8" width="2.3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58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236169.59999999998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17146.56</v>
      </c>
    </row>
    <row r="13" spans="1:9" ht="15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K26*I20*12</f>
        <v>70850.88</v>
      </c>
    </row>
    <row r="14" spans="1:9" ht="11.25" customHeight="1">
      <c r="A14" s="125" t="s">
        <v>43</v>
      </c>
      <c r="B14" s="126"/>
      <c r="C14" s="126"/>
      <c r="D14" s="126"/>
      <c r="E14" s="126"/>
      <c r="F14" s="126"/>
      <c r="G14" s="126"/>
      <c r="H14" s="18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8"/>
      <c r="I15" s="19">
        <f>(I11+I12+I13)*12%</f>
        <v>38900.044799999996</v>
      </c>
    </row>
    <row r="16" spans="1:9" ht="12" customHeight="1">
      <c r="A16" s="91" t="s">
        <v>46</v>
      </c>
      <c r="B16" s="92"/>
      <c r="C16" s="92"/>
      <c r="D16" s="92"/>
      <c r="E16" s="92"/>
      <c r="F16" s="92"/>
      <c r="G16" s="92"/>
      <c r="H16" s="18"/>
      <c r="I16" s="8">
        <f>I15</f>
        <v>38900.044799999996</v>
      </c>
    </row>
    <row r="17" spans="1:9" ht="13.5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SUM(I11:I13)-I16</f>
        <v>285266.9952</v>
      </c>
    </row>
    <row r="18" spans="1:9" ht="21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1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8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2000</v>
      </c>
      <c r="M25" s="6">
        <f aca="true" t="shared" si="1" ref="M25:M31">P25/4</f>
        <v>2000</v>
      </c>
      <c r="N25" s="6">
        <f aca="true" t="shared" si="2" ref="N25:N31">P25/4</f>
        <v>2000</v>
      </c>
      <c r="O25" s="6">
        <f aca="true" t="shared" si="3" ref="O25:O31">P25/4</f>
        <v>2000</v>
      </c>
      <c r="P25" s="8">
        <v>8000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2696</v>
      </c>
      <c r="L26" s="8">
        <f t="shared" si="0"/>
        <v>4852.799999999999</v>
      </c>
      <c r="M26" s="8">
        <f t="shared" si="1"/>
        <v>4852.799999999999</v>
      </c>
      <c r="N26" s="8">
        <f t="shared" si="2"/>
        <v>4852.799999999999</v>
      </c>
      <c r="O26" s="8">
        <f t="shared" si="3"/>
        <v>4852.799999999999</v>
      </c>
      <c r="P26" s="8">
        <f>J26*K26*12</f>
        <v>19411.199999999997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2696</v>
      </c>
      <c r="L27" s="8">
        <f t="shared" si="0"/>
        <v>9139.439999999999</v>
      </c>
      <c r="M27" s="8">
        <f t="shared" si="1"/>
        <v>9139.439999999999</v>
      </c>
      <c r="N27" s="8">
        <f t="shared" si="2"/>
        <v>9139.439999999999</v>
      </c>
      <c r="O27" s="8">
        <f t="shared" si="3"/>
        <v>9139.439999999999</v>
      </c>
      <c r="P27" s="8">
        <f>K27*J27*12</f>
        <v>36557.759999999995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2696</v>
      </c>
      <c r="L28" s="8">
        <f t="shared" si="0"/>
        <v>3801.3599999999997</v>
      </c>
      <c r="M28" s="8">
        <f t="shared" si="1"/>
        <v>3801.3599999999997</v>
      </c>
      <c r="N28" s="8">
        <f t="shared" si="2"/>
        <v>3801.3599999999997</v>
      </c>
      <c r="O28" s="8">
        <f t="shared" si="3"/>
        <v>3801.3599999999997</v>
      </c>
      <c r="P28" s="8">
        <f>K28*J28*12</f>
        <v>15205.439999999999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4750</v>
      </c>
      <c r="M29" s="6">
        <f t="shared" si="1"/>
        <v>4750</v>
      </c>
      <c r="N29" s="6">
        <f t="shared" si="2"/>
        <v>4750</v>
      </c>
      <c r="O29" s="6">
        <f t="shared" si="3"/>
        <v>4750</v>
      </c>
      <c r="P29" s="6">
        <v>19000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2696</v>
      </c>
      <c r="L30" s="8">
        <f t="shared" si="0"/>
        <v>9705.599999999999</v>
      </c>
      <c r="M30" s="8">
        <f t="shared" si="1"/>
        <v>9705.599999999999</v>
      </c>
      <c r="N30" s="8">
        <f t="shared" si="2"/>
        <v>9705.599999999999</v>
      </c>
      <c r="O30" s="8">
        <f t="shared" si="3"/>
        <v>9705.599999999999</v>
      </c>
      <c r="P30" s="8">
        <f>J30*K30*12</f>
        <v>38822.399999999994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2696</v>
      </c>
      <c r="L31" s="8">
        <f t="shared" si="0"/>
        <v>6470.400000000001</v>
      </c>
      <c r="M31" s="8">
        <f t="shared" si="1"/>
        <v>6470.400000000001</v>
      </c>
      <c r="N31" s="8">
        <f t="shared" si="2"/>
        <v>6470.400000000001</v>
      </c>
      <c r="O31" s="8">
        <f t="shared" si="3"/>
        <v>6470.400000000001</v>
      </c>
      <c r="P31" s="8">
        <f>K31*0.8*12</f>
        <v>25881.600000000002</v>
      </c>
    </row>
    <row r="32" spans="1:16" ht="16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2.5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6546</v>
      </c>
      <c r="M33" s="8">
        <f>P33/4</f>
        <v>6546</v>
      </c>
      <c r="N33" s="8">
        <f>P33/4</f>
        <v>6546</v>
      </c>
      <c r="O33" s="6">
        <f>P33/4</f>
        <v>6546</v>
      </c>
      <c r="P33" s="8">
        <v>26184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699.3</v>
      </c>
      <c r="L34" s="6"/>
      <c r="M34" s="8">
        <v>349</v>
      </c>
      <c r="N34" s="6"/>
      <c r="O34" s="8">
        <v>350</v>
      </c>
      <c r="P34" s="8">
        <f>K34*J34</f>
        <v>699.3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2696</v>
      </c>
      <c r="L36" s="8">
        <f>P36/4</f>
        <v>3882.24</v>
      </c>
      <c r="M36" s="8">
        <f>P36/4</f>
        <v>3882.24</v>
      </c>
      <c r="N36" s="8">
        <f>P36/4</f>
        <v>3882.24</v>
      </c>
      <c r="O36" s="8">
        <f>P36/4</f>
        <v>3882.24</v>
      </c>
      <c r="P36" s="8">
        <f>K36*J36*12</f>
        <v>15528.96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2696</v>
      </c>
      <c r="L38" s="6">
        <f>P38/4</f>
        <v>15367.199999999999</v>
      </c>
      <c r="M38" s="8">
        <f>P38/4</f>
        <v>15367.199999999999</v>
      </c>
      <c r="N38" s="8">
        <f>P38/4</f>
        <v>15367.199999999999</v>
      </c>
      <c r="O38" s="8">
        <f>P38/4</f>
        <v>15367.199999999999</v>
      </c>
      <c r="P38" s="8">
        <f>K38*J38*12</f>
        <v>61468.799999999996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3882.25</v>
      </c>
      <c r="M40" s="8">
        <f>P40/4</f>
        <v>3882.25</v>
      </c>
      <c r="N40" s="8">
        <f>P40/4</f>
        <v>3882.25</v>
      </c>
      <c r="O40" s="8">
        <f>P40/4</f>
        <v>3882.25</v>
      </c>
      <c r="P40" s="8">
        <v>15529</v>
      </c>
    </row>
    <row r="41" spans="1:16" ht="15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63</v>
      </c>
      <c r="L41" s="8">
        <f>J41*K41*3</f>
        <v>744.66</v>
      </c>
      <c r="M41" s="8">
        <f>L41</f>
        <v>744.66</v>
      </c>
      <c r="N41" s="8">
        <f>M41</f>
        <v>744.66</v>
      </c>
      <c r="O41" s="8">
        <f>N41</f>
        <v>744.66</v>
      </c>
      <c r="P41" s="8">
        <f>J41*K41*12</f>
        <v>2978.64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71141.95</v>
      </c>
      <c r="M42" s="14">
        <f>SUM(M25:M41)</f>
        <v>71490.95</v>
      </c>
      <c r="N42" s="14">
        <f>SUM(N25:N41)</f>
        <v>71141.95</v>
      </c>
      <c r="O42" s="14">
        <f>SUM(O25:O41)</f>
        <v>71491.95</v>
      </c>
      <c r="P42" s="14">
        <f>SUM(P25:P41)</f>
        <v>285267.1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38900.044799999996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324167.14479999995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1:B1"/>
    <mergeCell ref="A3:B3"/>
    <mergeCell ref="L3:P3"/>
    <mergeCell ref="L4:P4"/>
    <mergeCell ref="A6:P6"/>
    <mergeCell ref="A7:P7"/>
    <mergeCell ref="A9:H9"/>
    <mergeCell ref="A10:H10"/>
    <mergeCell ref="A11:H11"/>
    <mergeCell ref="A12:H12"/>
    <mergeCell ref="A13:H13"/>
    <mergeCell ref="A14:G14"/>
    <mergeCell ref="A15:G15"/>
    <mergeCell ref="A16:G16"/>
    <mergeCell ref="A17:H17"/>
    <mergeCell ref="A18:H18"/>
    <mergeCell ref="A21:I21"/>
    <mergeCell ref="A19:H19"/>
    <mergeCell ref="A20:H20"/>
    <mergeCell ref="L22:O22"/>
    <mergeCell ref="P22:P23"/>
    <mergeCell ref="A24:H24"/>
    <mergeCell ref="A25:H25"/>
    <mergeCell ref="A22:H23"/>
    <mergeCell ref="I22:I23"/>
    <mergeCell ref="J22:J23"/>
    <mergeCell ref="K22:K23"/>
    <mergeCell ref="A26:H26"/>
    <mergeCell ref="A27:H27"/>
    <mergeCell ref="A28:H28"/>
    <mergeCell ref="A29:H29"/>
    <mergeCell ref="A30:H30"/>
    <mergeCell ref="A31:H31"/>
    <mergeCell ref="A32:G32"/>
    <mergeCell ref="A33:H33"/>
    <mergeCell ref="A34:H34"/>
    <mergeCell ref="A39:H39"/>
    <mergeCell ref="A40:H40"/>
    <mergeCell ref="A41:H41"/>
    <mergeCell ref="A35:H35"/>
    <mergeCell ref="A36:H36"/>
    <mergeCell ref="A37:H37"/>
    <mergeCell ref="A38:H38"/>
    <mergeCell ref="A42:H42"/>
    <mergeCell ref="A43:H43"/>
    <mergeCell ref="A44:H44"/>
    <mergeCell ref="A45:H45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2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59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231921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16838.100000000002</v>
      </c>
    </row>
    <row r="13" spans="1:9" ht="18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K26*I20*12</f>
        <v>69576.29999999999</v>
      </c>
    </row>
    <row r="14" spans="1:9" ht="11.25" customHeight="1">
      <c r="A14" s="125" t="s">
        <v>43</v>
      </c>
      <c r="B14" s="126"/>
      <c r="C14" s="126"/>
      <c r="D14" s="126"/>
      <c r="E14" s="126"/>
      <c r="F14" s="126"/>
      <c r="G14" s="126"/>
      <c r="H14" s="18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8"/>
      <c r="I15" s="19">
        <f>(I11+I12+I13)*12%</f>
        <v>38200.248</v>
      </c>
    </row>
    <row r="16" spans="1:9" ht="12" customHeight="1">
      <c r="A16" s="91" t="s">
        <v>46</v>
      </c>
      <c r="B16" s="92"/>
      <c r="C16" s="92"/>
      <c r="D16" s="92"/>
      <c r="E16" s="92"/>
      <c r="F16" s="92"/>
      <c r="G16" s="92"/>
      <c r="H16" s="18"/>
      <c r="I16" s="8">
        <f>I15</f>
        <v>38200.248</v>
      </c>
    </row>
    <row r="17" spans="1:9" ht="13.5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(I11+I12+I13)-I16</f>
        <v>280135.152</v>
      </c>
    </row>
    <row r="18" spans="1:9" ht="21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1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7.25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1750</v>
      </c>
      <c r="M25" s="6">
        <f aca="true" t="shared" si="1" ref="M25:M31">P25/4</f>
        <v>1750</v>
      </c>
      <c r="N25" s="6">
        <f aca="true" t="shared" si="2" ref="N25:N31">P25/4</f>
        <v>1750</v>
      </c>
      <c r="O25" s="6">
        <f aca="true" t="shared" si="3" ref="O25:O31">P25/4</f>
        <v>1750</v>
      </c>
      <c r="P25" s="8">
        <v>7000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2647.5</v>
      </c>
      <c r="L26" s="8">
        <f t="shared" si="0"/>
        <v>4765.5</v>
      </c>
      <c r="M26" s="8">
        <f t="shared" si="1"/>
        <v>4765.5</v>
      </c>
      <c r="N26" s="8">
        <f t="shared" si="2"/>
        <v>4765.5</v>
      </c>
      <c r="O26" s="8">
        <f t="shared" si="3"/>
        <v>4765.5</v>
      </c>
      <c r="P26" s="8">
        <f>J26*K26*12</f>
        <v>19062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2647.5</v>
      </c>
      <c r="L27" s="8">
        <f t="shared" si="0"/>
        <v>8975.025</v>
      </c>
      <c r="M27" s="8">
        <f t="shared" si="1"/>
        <v>8975.025</v>
      </c>
      <c r="N27" s="8">
        <f t="shared" si="2"/>
        <v>8975.025</v>
      </c>
      <c r="O27" s="8">
        <f t="shared" si="3"/>
        <v>8975.025</v>
      </c>
      <c r="P27" s="8">
        <f>K27*J27*12</f>
        <v>35900.1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2647.5</v>
      </c>
      <c r="L28" s="8">
        <f t="shared" si="0"/>
        <v>3732.9749999999995</v>
      </c>
      <c r="M28" s="8">
        <f t="shared" si="1"/>
        <v>3732.9749999999995</v>
      </c>
      <c r="N28" s="8">
        <f t="shared" si="2"/>
        <v>3732.9749999999995</v>
      </c>
      <c r="O28" s="8">
        <f t="shared" si="3"/>
        <v>3732.9749999999995</v>
      </c>
      <c r="P28" s="8">
        <f>K28*J28*12</f>
        <v>14931.899999999998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4750</v>
      </c>
      <c r="M29" s="6">
        <f t="shared" si="1"/>
        <v>4750</v>
      </c>
      <c r="N29" s="6">
        <f t="shared" si="2"/>
        <v>4750</v>
      </c>
      <c r="O29" s="6">
        <f t="shared" si="3"/>
        <v>4750</v>
      </c>
      <c r="P29" s="6">
        <v>19000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2647.5</v>
      </c>
      <c r="L30" s="8">
        <f t="shared" si="0"/>
        <v>9531</v>
      </c>
      <c r="M30" s="8">
        <f t="shared" si="1"/>
        <v>9531</v>
      </c>
      <c r="N30" s="8">
        <f t="shared" si="2"/>
        <v>9531</v>
      </c>
      <c r="O30" s="8">
        <f t="shared" si="3"/>
        <v>9531</v>
      </c>
      <c r="P30" s="8">
        <f>J30*K30*12</f>
        <v>38124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2647.5</v>
      </c>
      <c r="L31" s="8">
        <f t="shared" si="0"/>
        <v>6354</v>
      </c>
      <c r="M31" s="8">
        <f t="shared" si="1"/>
        <v>6354</v>
      </c>
      <c r="N31" s="8">
        <f t="shared" si="2"/>
        <v>6354</v>
      </c>
      <c r="O31" s="8">
        <f t="shared" si="3"/>
        <v>6354</v>
      </c>
      <c r="P31" s="8">
        <f>K31*0.8*12</f>
        <v>25416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6578</v>
      </c>
      <c r="M33" s="8">
        <f>P33/4</f>
        <v>6578</v>
      </c>
      <c r="N33" s="8">
        <f>P33/4</f>
        <v>6578</v>
      </c>
      <c r="O33" s="6">
        <f>P33/4</f>
        <v>6578</v>
      </c>
      <c r="P33" s="8">
        <v>26312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783.9</v>
      </c>
      <c r="L34" s="6"/>
      <c r="M34" s="8">
        <f>P34/2</f>
        <v>391.95</v>
      </c>
      <c r="N34" s="6"/>
      <c r="O34" s="8">
        <v>392</v>
      </c>
      <c r="P34" s="8">
        <f>K34*J34</f>
        <v>783.9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f>K26</f>
        <v>2647.5</v>
      </c>
      <c r="L36" s="8">
        <f>P36/4</f>
        <v>3812.3999999999996</v>
      </c>
      <c r="M36" s="8">
        <f>P36/4</f>
        <v>3812.3999999999996</v>
      </c>
      <c r="N36" s="8">
        <f>P36/4</f>
        <v>3812.3999999999996</v>
      </c>
      <c r="O36" s="8">
        <f>P36/4</f>
        <v>3812.3999999999996</v>
      </c>
      <c r="P36" s="8">
        <f>K36*J36*12</f>
        <v>15249.599999999999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f>K26</f>
        <v>2647.5</v>
      </c>
      <c r="L38" s="6">
        <f>P38/4</f>
        <v>15090.75</v>
      </c>
      <c r="M38" s="8">
        <f>P38/4</f>
        <v>15090.75</v>
      </c>
      <c r="N38" s="6">
        <f>P38/4</f>
        <v>15090.75</v>
      </c>
      <c r="O38" s="8">
        <f>P38/4</f>
        <v>15090.75</v>
      </c>
      <c r="P38" s="8">
        <f>K38*J38*12</f>
        <v>60363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3812.5</v>
      </c>
      <c r="M40" s="8">
        <f>P40/4</f>
        <v>3812.5</v>
      </c>
      <c r="N40" s="8">
        <f>P40/4</f>
        <v>3812.5</v>
      </c>
      <c r="O40" s="8">
        <f>P40/4</f>
        <v>3812.5</v>
      </c>
      <c r="P40" s="8">
        <v>15250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58</v>
      </c>
      <c r="L41" s="8">
        <f>J41*K41*3</f>
        <v>685.5600000000001</v>
      </c>
      <c r="M41" s="8">
        <f>L41</f>
        <v>685.5600000000001</v>
      </c>
      <c r="N41" s="8">
        <f>M41</f>
        <v>685.5600000000001</v>
      </c>
      <c r="O41" s="8">
        <f>N41</f>
        <v>685.5600000000001</v>
      </c>
      <c r="P41" s="8">
        <f>J41*K41*12</f>
        <v>2742.2400000000002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69837.70999999999</v>
      </c>
      <c r="M42" s="14">
        <f>SUM(M25:M41)</f>
        <v>70229.66</v>
      </c>
      <c r="N42" s="14">
        <f>SUM(N25:N41)</f>
        <v>69837.70999999999</v>
      </c>
      <c r="O42" s="14">
        <f>SUM(O25:O41)</f>
        <v>70229.70999999999</v>
      </c>
      <c r="P42" s="14">
        <f>SUM(P25:P41)</f>
        <v>280134.74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38200.248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318334.988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42:H42"/>
    <mergeCell ref="A43:H43"/>
    <mergeCell ref="A44:H44"/>
    <mergeCell ref="A45:H45"/>
    <mergeCell ref="A34:H34"/>
    <mergeCell ref="A39:H39"/>
    <mergeCell ref="A40:H40"/>
    <mergeCell ref="A41:H41"/>
    <mergeCell ref="A35:H35"/>
    <mergeCell ref="A36:H36"/>
    <mergeCell ref="A37:H37"/>
    <mergeCell ref="A38:H38"/>
    <mergeCell ref="A30:H30"/>
    <mergeCell ref="A31:H31"/>
    <mergeCell ref="A32:G32"/>
    <mergeCell ref="A33:H33"/>
    <mergeCell ref="A26:H26"/>
    <mergeCell ref="A27:H27"/>
    <mergeCell ref="A28:H28"/>
    <mergeCell ref="A29:H29"/>
    <mergeCell ref="P22:P23"/>
    <mergeCell ref="A24:H24"/>
    <mergeCell ref="A25:H25"/>
    <mergeCell ref="A22:H23"/>
    <mergeCell ref="I22:I23"/>
    <mergeCell ref="J22:J23"/>
    <mergeCell ref="K22:K23"/>
    <mergeCell ref="A21:I21"/>
    <mergeCell ref="A19:H19"/>
    <mergeCell ref="A20:H20"/>
    <mergeCell ref="L22:O22"/>
    <mergeCell ref="A15:G15"/>
    <mergeCell ref="A16:G16"/>
    <mergeCell ref="A17:H17"/>
    <mergeCell ref="A18:H18"/>
    <mergeCell ref="A11:H11"/>
    <mergeCell ref="A12:H12"/>
    <mergeCell ref="A13:H13"/>
    <mergeCell ref="A14:G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6">
      <selection activeCell="P41" sqref="P41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238035.48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17282.028000000002</v>
      </c>
    </row>
    <row r="13" spans="1:9" ht="16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K26*I20*12</f>
        <v>71410.644</v>
      </c>
    </row>
    <row r="14" spans="1:15" ht="11.25" customHeight="1">
      <c r="A14" s="116" t="s">
        <v>43</v>
      </c>
      <c r="B14" s="117"/>
      <c r="C14" s="117"/>
      <c r="D14" s="117"/>
      <c r="E14" s="117"/>
      <c r="F14" s="117"/>
      <c r="G14" s="117"/>
      <c r="H14" s="18"/>
      <c r="I14" s="16"/>
      <c r="O14" s="37"/>
    </row>
    <row r="15" spans="1:15" ht="12" customHeight="1">
      <c r="A15" s="119" t="s">
        <v>44</v>
      </c>
      <c r="B15" s="120"/>
      <c r="C15" s="120"/>
      <c r="D15" s="120"/>
      <c r="E15" s="120"/>
      <c r="F15" s="120"/>
      <c r="G15" s="120"/>
      <c r="H15" s="18"/>
      <c r="I15" s="19">
        <f>(I11+I12+I13)*12%</f>
        <v>39207.37824</v>
      </c>
      <c r="O15" s="38"/>
    </row>
    <row r="16" spans="1:9" ht="12" customHeight="1">
      <c r="A16" s="91" t="s">
        <v>46</v>
      </c>
      <c r="B16" s="92"/>
      <c r="C16" s="92"/>
      <c r="D16" s="92"/>
      <c r="E16" s="92"/>
      <c r="F16" s="92"/>
      <c r="G16" s="92"/>
      <c r="H16" s="18"/>
      <c r="I16" s="8">
        <f>I15</f>
        <v>39207.37824</v>
      </c>
    </row>
    <row r="17" spans="1:9" ht="13.5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(I11+I12+I13)-I16</f>
        <v>287520.77376</v>
      </c>
    </row>
    <row r="18" spans="1:9" ht="21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1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21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0">P25/4</f>
        <v>2250</v>
      </c>
      <c r="M25" s="6">
        <f aca="true" t="shared" si="1" ref="M25:M31">P25/4</f>
        <v>2250</v>
      </c>
      <c r="N25" s="6">
        <f aca="true" t="shared" si="2" ref="N25:N31">P25/4</f>
        <v>2250</v>
      </c>
      <c r="O25" s="6">
        <f aca="true" t="shared" si="3" ref="O25:O31">P25/4</f>
        <v>2250</v>
      </c>
      <c r="P25" s="8">
        <v>9000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2717.3</v>
      </c>
      <c r="L26" s="8">
        <f t="shared" si="0"/>
        <v>4891.14</v>
      </c>
      <c r="M26" s="8">
        <f t="shared" si="1"/>
        <v>4891.14</v>
      </c>
      <c r="N26" s="8">
        <f t="shared" si="2"/>
        <v>4891.14</v>
      </c>
      <c r="O26" s="8">
        <f t="shared" si="3"/>
        <v>4891.14</v>
      </c>
      <c r="P26" s="8">
        <f>J26*K26*12</f>
        <v>19564.56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2717.3</v>
      </c>
      <c r="L27" s="8">
        <f t="shared" si="0"/>
        <v>9211.647</v>
      </c>
      <c r="M27" s="8">
        <f t="shared" si="1"/>
        <v>9211.647</v>
      </c>
      <c r="N27" s="8">
        <f t="shared" si="2"/>
        <v>9211.647</v>
      </c>
      <c r="O27" s="8">
        <f t="shared" si="3"/>
        <v>9211.647</v>
      </c>
      <c r="P27" s="8">
        <f>K27*J27*12</f>
        <v>36846.588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2717.3</v>
      </c>
      <c r="L28" s="8">
        <f t="shared" si="0"/>
        <v>3831.393</v>
      </c>
      <c r="M28" s="8">
        <f t="shared" si="1"/>
        <v>3831.393</v>
      </c>
      <c r="N28" s="8">
        <f t="shared" si="2"/>
        <v>3831.393</v>
      </c>
      <c r="O28" s="8">
        <f t="shared" si="3"/>
        <v>3831.393</v>
      </c>
      <c r="P28" s="8">
        <f>K28*J28*12</f>
        <v>15325.572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4800</v>
      </c>
      <c r="M29" s="6">
        <f t="shared" si="1"/>
        <v>4800</v>
      </c>
      <c r="N29" s="6">
        <f t="shared" si="2"/>
        <v>4800</v>
      </c>
      <c r="O29" s="6">
        <f t="shared" si="3"/>
        <v>4800</v>
      </c>
      <c r="P29" s="6">
        <v>19200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2717.3</v>
      </c>
      <c r="L30" s="8">
        <f t="shared" si="0"/>
        <v>9782.28</v>
      </c>
      <c r="M30" s="8">
        <f t="shared" si="1"/>
        <v>9782.28</v>
      </c>
      <c r="N30" s="8">
        <f t="shared" si="2"/>
        <v>9782.28</v>
      </c>
      <c r="O30" s="8">
        <f t="shared" si="3"/>
        <v>9782.28</v>
      </c>
      <c r="P30" s="8">
        <f>J30*K30*12</f>
        <v>39129.12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2717.3</v>
      </c>
      <c r="L31" s="8">
        <f>P31/4</f>
        <v>6521.52</v>
      </c>
      <c r="M31" s="8">
        <f t="shared" si="1"/>
        <v>6521.52</v>
      </c>
      <c r="N31" s="8">
        <f t="shared" si="2"/>
        <v>6521.52</v>
      </c>
      <c r="O31" s="8">
        <f t="shared" si="3"/>
        <v>6521.52</v>
      </c>
      <c r="P31" s="8">
        <f>K31*0.8*12</f>
        <v>26086.08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6370</v>
      </c>
      <c r="M33" s="8">
        <f>P33/4</f>
        <v>6370</v>
      </c>
      <c r="N33" s="8">
        <f>P33/4</f>
        <v>6370</v>
      </c>
      <c r="O33" s="6">
        <f>P33/4</f>
        <v>6370</v>
      </c>
      <c r="P33" s="8">
        <v>25480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699.8</v>
      </c>
      <c r="L34" s="6"/>
      <c r="M34" s="8">
        <f>P34/2</f>
        <v>349.9</v>
      </c>
      <c r="N34" s="6"/>
      <c r="O34" s="8">
        <f>P34/2</f>
        <v>349.9</v>
      </c>
      <c r="P34" s="8">
        <f>K34*J34</f>
        <v>699.8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2717.3</v>
      </c>
      <c r="L36" s="8">
        <f>P36/4</f>
        <v>3912.9120000000003</v>
      </c>
      <c r="M36" s="8">
        <f>P36/4</f>
        <v>3912.9120000000003</v>
      </c>
      <c r="N36" s="8">
        <f>P36/4</f>
        <v>3912.9120000000003</v>
      </c>
      <c r="O36" s="8">
        <f>P36/4</f>
        <v>3912.9120000000003</v>
      </c>
      <c r="P36" s="8">
        <f>K36*J36*12</f>
        <v>15651.648000000001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2717.3</v>
      </c>
      <c r="L38" s="6">
        <f>P38/4</f>
        <v>15488.61</v>
      </c>
      <c r="M38" s="8">
        <f>P38/4</f>
        <v>15488.61</v>
      </c>
      <c r="N38" s="8">
        <f>P38/4</f>
        <v>15488.61</v>
      </c>
      <c r="O38" s="8">
        <f>P38/4</f>
        <v>15488.61</v>
      </c>
      <c r="P38" s="8">
        <f>K38*J38*12</f>
        <v>61954.44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3913</v>
      </c>
      <c r="M40" s="8">
        <f>P40/4</f>
        <v>3913</v>
      </c>
      <c r="N40" s="8">
        <f>P40/4</f>
        <v>3913</v>
      </c>
      <c r="O40" s="8">
        <f>P40/4</f>
        <v>3913</v>
      </c>
      <c r="P40" s="8">
        <v>15652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62</v>
      </c>
      <c r="L41" s="8">
        <f>J41*K41*3</f>
        <v>732.84</v>
      </c>
      <c r="M41" s="8">
        <f>L41</f>
        <v>732.84</v>
      </c>
      <c r="N41" s="8">
        <f>M41</f>
        <v>732.84</v>
      </c>
      <c r="O41" s="8">
        <f>N41</f>
        <v>732.84</v>
      </c>
      <c r="P41" s="8">
        <f>J41*K41*12</f>
        <v>2931.36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71705.34199999999</v>
      </c>
      <c r="M42" s="14">
        <f>SUM(M25:M41)</f>
        <v>72055.242</v>
      </c>
      <c r="N42" s="14">
        <f>SUM(N25:N41)</f>
        <v>71705.34199999999</v>
      </c>
      <c r="O42" s="14">
        <f>SUM(O25:O41)</f>
        <v>72055.242</v>
      </c>
      <c r="P42" s="14">
        <f>SUM(P25:P41)</f>
        <v>287521.16799999995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39207.37824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326728.54623999994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1:B1"/>
    <mergeCell ref="A3:B3"/>
    <mergeCell ref="L3:P3"/>
    <mergeCell ref="L4:P4"/>
    <mergeCell ref="A6:P6"/>
    <mergeCell ref="A7:P7"/>
    <mergeCell ref="A9:H9"/>
    <mergeCell ref="A10:H10"/>
    <mergeCell ref="A14:G14"/>
    <mergeCell ref="A15:G15"/>
    <mergeCell ref="A11:H11"/>
    <mergeCell ref="A12:H12"/>
    <mergeCell ref="A13:H13"/>
    <mergeCell ref="A16:G16"/>
    <mergeCell ref="A17:H17"/>
    <mergeCell ref="A18:H18"/>
    <mergeCell ref="A21:I21"/>
    <mergeCell ref="A19:H19"/>
    <mergeCell ref="A20:H20"/>
    <mergeCell ref="L22:O22"/>
    <mergeCell ref="P22:P23"/>
    <mergeCell ref="A24:H24"/>
    <mergeCell ref="A25:H25"/>
    <mergeCell ref="A22:H23"/>
    <mergeCell ref="I22:I23"/>
    <mergeCell ref="J22:J23"/>
    <mergeCell ref="K22:K23"/>
    <mergeCell ref="A26:H26"/>
    <mergeCell ref="A27:H27"/>
    <mergeCell ref="A28:H28"/>
    <mergeCell ref="A29:H29"/>
    <mergeCell ref="A30:H30"/>
    <mergeCell ref="A31:H31"/>
    <mergeCell ref="A32:G32"/>
    <mergeCell ref="A33:H33"/>
    <mergeCell ref="A34:H34"/>
    <mergeCell ref="A39:H39"/>
    <mergeCell ref="A40:H40"/>
    <mergeCell ref="A41:H41"/>
    <mergeCell ref="A35:H35"/>
    <mergeCell ref="A36:H36"/>
    <mergeCell ref="A37:H37"/>
    <mergeCell ref="A38:H38"/>
    <mergeCell ref="A42:H42"/>
    <mergeCell ref="A43:H43"/>
    <mergeCell ref="A44:H44"/>
    <mergeCell ref="A45:H45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5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238009.19999999998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17280.12</v>
      </c>
    </row>
    <row r="13" spans="1:9" ht="16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K26*I20*12</f>
        <v>71402.76</v>
      </c>
    </row>
    <row r="14" spans="1:9" ht="11.25" customHeight="1">
      <c r="A14" s="116" t="s">
        <v>43</v>
      </c>
      <c r="B14" s="117"/>
      <c r="C14" s="117"/>
      <c r="D14" s="117"/>
      <c r="E14" s="117"/>
      <c r="F14" s="117"/>
      <c r="G14" s="117"/>
      <c r="H14" s="18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8"/>
      <c r="I15" s="19">
        <f>(I11+I12+I13)*12%</f>
        <v>39203.04959999999</v>
      </c>
    </row>
    <row r="16" spans="1:9" ht="12" customHeight="1">
      <c r="A16" s="91" t="s">
        <v>46</v>
      </c>
      <c r="B16" s="92"/>
      <c r="C16" s="92"/>
      <c r="D16" s="92"/>
      <c r="E16" s="92"/>
      <c r="F16" s="92"/>
      <c r="G16" s="92"/>
      <c r="H16" s="18"/>
      <c r="I16" s="8">
        <f>I15</f>
        <v>39203.04959999999</v>
      </c>
    </row>
    <row r="17" spans="1:9" ht="13.5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(I11+I12+I13)-I16</f>
        <v>287489.0304</v>
      </c>
    </row>
    <row r="18" spans="1:9" ht="21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1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21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2250</v>
      </c>
      <c r="M25" s="6">
        <f aca="true" t="shared" si="1" ref="M25:M31">P25/4</f>
        <v>2250</v>
      </c>
      <c r="N25" s="6">
        <f aca="true" t="shared" si="2" ref="N25:N31">P25/4</f>
        <v>2250</v>
      </c>
      <c r="O25" s="6">
        <f aca="true" t="shared" si="3" ref="O25:O31">P25/4</f>
        <v>2250</v>
      </c>
      <c r="P25" s="8">
        <v>9000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2717</v>
      </c>
      <c r="L26" s="8">
        <f t="shared" si="0"/>
        <v>4890.6</v>
      </c>
      <c r="M26" s="8">
        <f t="shared" si="1"/>
        <v>4890.6</v>
      </c>
      <c r="N26" s="8">
        <f t="shared" si="2"/>
        <v>4890.6</v>
      </c>
      <c r="O26" s="8">
        <f t="shared" si="3"/>
        <v>4890.6</v>
      </c>
      <c r="P26" s="8">
        <f>J26*K26*12</f>
        <v>19562.4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2717</v>
      </c>
      <c r="L27" s="8">
        <f t="shared" si="0"/>
        <v>9210.63</v>
      </c>
      <c r="M27" s="8">
        <f t="shared" si="1"/>
        <v>9210.63</v>
      </c>
      <c r="N27" s="8">
        <f t="shared" si="2"/>
        <v>9210.63</v>
      </c>
      <c r="O27" s="8">
        <f t="shared" si="3"/>
        <v>9210.63</v>
      </c>
      <c r="P27" s="8">
        <f>K27*J27*12</f>
        <v>36842.52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2717</v>
      </c>
      <c r="L28" s="8">
        <f t="shared" si="0"/>
        <v>3830.9700000000003</v>
      </c>
      <c r="M28" s="8">
        <f t="shared" si="1"/>
        <v>3830.9700000000003</v>
      </c>
      <c r="N28" s="8">
        <f t="shared" si="2"/>
        <v>3830.9700000000003</v>
      </c>
      <c r="O28" s="8">
        <f t="shared" si="3"/>
        <v>3830.9700000000003</v>
      </c>
      <c r="P28" s="8">
        <f>K28*J28*12</f>
        <v>15323.880000000001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4750</v>
      </c>
      <c r="M29" s="6">
        <f t="shared" si="1"/>
        <v>4750</v>
      </c>
      <c r="N29" s="6">
        <f t="shared" si="2"/>
        <v>4750</v>
      </c>
      <c r="O29" s="6">
        <f t="shared" si="3"/>
        <v>4750</v>
      </c>
      <c r="P29" s="6">
        <v>19000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2717</v>
      </c>
      <c r="L30" s="8">
        <f t="shared" si="0"/>
        <v>9781.2</v>
      </c>
      <c r="M30" s="8">
        <f t="shared" si="1"/>
        <v>9781.2</v>
      </c>
      <c r="N30" s="8">
        <f t="shared" si="2"/>
        <v>9781.2</v>
      </c>
      <c r="O30" s="8">
        <f t="shared" si="3"/>
        <v>9781.2</v>
      </c>
      <c r="P30" s="8">
        <f>J30*K30*12</f>
        <v>39124.8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2717</v>
      </c>
      <c r="L31" s="8">
        <f t="shared" si="0"/>
        <v>6520.799999999999</v>
      </c>
      <c r="M31" s="8">
        <f t="shared" si="1"/>
        <v>6520.799999999999</v>
      </c>
      <c r="N31" s="8">
        <f t="shared" si="2"/>
        <v>6520.799999999999</v>
      </c>
      <c r="O31" s="8">
        <f t="shared" si="3"/>
        <v>6520.799999999999</v>
      </c>
      <c r="P31" s="8">
        <f>K31*0.8*12</f>
        <v>26083.199999999997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6383</v>
      </c>
      <c r="M33" s="8">
        <f>P33/4</f>
        <v>6383</v>
      </c>
      <c r="N33" s="8">
        <f>P33/4</f>
        <v>6383</v>
      </c>
      <c r="O33" s="6">
        <f>P33/4</f>
        <v>6383</v>
      </c>
      <c r="P33" s="8">
        <v>25532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699.8</v>
      </c>
      <c r="L34" s="6"/>
      <c r="M34" s="8">
        <f>P34/2</f>
        <v>349.9</v>
      </c>
      <c r="N34" s="6"/>
      <c r="O34" s="8">
        <f>P34/2</f>
        <v>349.9</v>
      </c>
      <c r="P34" s="8">
        <f>K34*J34</f>
        <v>699.8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2717</v>
      </c>
      <c r="L36" s="8">
        <f>P36/4</f>
        <v>3912.4799999999996</v>
      </c>
      <c r="M36" s="8">
        <f>P36/4</f>
        <v>3912.4799999999996</v>
      </c>
      <c r="N36" s="8">
        <f>P36/4</f>
        <v>3912.4799999999996</v>
      </c>
      <c r="O36" s="8">
        <f>P36/4</f>
        <v>3912.4799999999996</v>
      </c>
      <c r="P36" s="8">
        <f>K36*J36*12</f>
        <v>15649.919999999998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2717</v>
      </c>
      <c r="L38" s="6">
        <f>P38/4</f>
        <v>15486.900000000001</v>
      </c>
      <c r="M38" s="8">
        <f>P38/4</f>
        <v>15486.900000000001</v>
      </c>
      <c r="N38" s="8">
        <f>P38/4</f>
        <v>15486.900000000001</v>
      </c>
      <c r="O38" s="8">
        <f>P38/4</f>
        <v>15486.900000000001</v>
      </c>
      <c r="P38" s="8">
        <f>K38*J38*12</f>
        <v>61947.600000000006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3912.5</v>
      </c>
      <c r="M40" s="8">
        <f>P40/4</f>
        <v>3912.5</v>
      </c>
      <c r="N40" s="8">
        <f>P40/4</f>
        <v>3912.5</v>
      </c>
      <c r="O40" s="8">
        <f>P40/4</f>
        <v>3912.5</v>
      </c>
      <c r="P40" s="8">
        <v>15650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65</v>
      </c>
      <c r="L41" s="8">
        <f>J41*K41*3</f>
        <v>768.3000000000001</v>
      </c>
      <c r="M41" s="8">
        <f>L41</f>
        <v>768.3000000000001</v>
      </c>
      <c r="N41" s="8">
        <f>M41</f>
        <v>768.3000000000001</v>
      </c>
      <c r="O41" s="8">
        <f>N41</f>
        <v>768.3000000000001</v>
      </c>
      <c r="P41" s="8">
        <f>J41*K41*12</f>
        <v>3073.2000000000003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71697.37999999999</v>
      </c>
      <c r="M42" s="14">
        <f>SUM(M25:M41)</f>
        <v>72047.28000000001</v>
      </c>
      <c r="N42" s="14">
        <f>SUM(N25:N41)</f>
        <v>71697.37999999999</v>
      </c>
      <c r="O42" s="14">
        <f>SUM(O25:O41)</f>
        <v>72047.28000000001</v>
      </c>
      <c r="P42" s="14">
        <f>SUM(P25:P41)</f>
        <v>287489.32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39203.04959999999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326692.3696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1:B1"/>
    <mergeCell ref="A3:B3"/>
    <mergeCell ref="L3:P3"/>
    <mergeCell ref="L4:P4"/>
    <mergeCell ref="A6:P6"/>
    <mergeCell ref="A7:P7"/>
    <mergeCell ref="A9:H9"/>
    <mergeCell ref="A10:H10"/>
    <mergeCell ref="A14:G14"/>
    <mergeCell ref="A15:G15"/>
    <mergeCell ref="A11:H11"/>
    <mergeCell ref="A12:H12"/>
    <mergeCell ref="A13:H13"/>
    <mergeCell ref="A16:G16"/>
    <mergeCell ref="A17:H17"/>
    <mergeCell ref="A18:H18"/>
    <mergeCell ref="A21:I21"/>
    <mergeCell ref="A19:H19"/>
    <mergeCell ref="A20:H20"/>
    <mergeCell ref="L22:O22"/>
    <mergeCell ref="P22:P23"/>
    <mergeCell ref="A24:H24"/>
    <mergeCell ref="A25:H25"/>
    <mergeCell ref="A22:H23"/>
    <mergeCell ref="I22:I23"/>
    <mergeCell ref="J22:J23"/>
    <mergeCell ref="K22:K23"/>
    <mergeCell ref="A26:H26"/>
    <mergeCell ref="A27:H27"/>
    <mergeCell ref="A28:H28"/>
    <mergeCell ref="A29:H29"/>
    <mergeCell ref="A30:H30"/>
    <mergeCell ref="A31:H31"/>
    <mergeCell ref="A32:G32"/>
    <mergeCell ref="A33:H33"/>
    <mergeCell ref="A34:H34"/>
    <mergeCell ref="A39:H39"/>
    <mergeCell ref="A40:H40"/>
    <mergeCell ref="A41:H41"/>
    <mergeCell ref="A35:H35"/>
    <mergeCell ref="A36:H36"/>
    <mergeCell ref="A37:H37"/>
    <mergeCell ref="A38:H38"/>
    <mergeCell ref="A42:H42"/>
    <mergeCell ref="A43:H43"/>
    <mergeCell ref="A44:H44"/>
    <mergeCell ref="A45:H45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P34" sqref="P34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(K30*I18*12)+(120.1*9.22*12)</f>
        <v>247679.18399999995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K27*I19*12</f>
        <v>17781.288</v>
      </c>
    </row>
    <row r="13" spans="1:9" ht="18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K31*I20*12</f>
        <v>70317.396</v>
      </c>
    </row>
    <row r="14" spans="1:9" ht="12" customHeight="1">
      <c r="A14" s="125" t="s">
        <v>43</v>
      </c>
      <c r="B14" s="126"/>
      <c r="C14" s="126"/>
      <c r="D14" s="126"/>
      <c r="E14" s="126"/>
      <c r="F14" s="126"/>
      <c r="G14" s="126"/>
      <c r="H14" s="18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8"/>
      <c r="I15" s="19">
        <f>SUM(I11+I12+I13)*12%</f>
        <v>40293.34415999999</v>
      </c>
    </row>
    <row r="16" spans="1:9" ht="13.5" customHeight="1">
      <c r="A16" s="91" t="s">
        <v>46</v>
      </c>
      <c r="B16" s="92"/>
      <c r="C16" s="92"/>
      <c r="D16" s="92"/>
      <c r="E16" s="92"/>
      <c r="F16" s="92"/>
      <c r="G16" s="92"/>
      <c r="H16" s="18"/>
      <c r="I16" s="8">
        <f>I15</f>
        <v>40293.34415999999</v>
      </c>
    </row>
    <row r="17" spans="1:9" ht="14.25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(I11+I12+I13)-I16</f>
        <v>295484.52384</v>
      </c>
    </row>
    <row r="18" spans="1:9" ht="21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1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5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16" ht="1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3500</v>
      </c>
      <c r="M25" s="6">
        <f aca="true" t="shared" si="1" ref="M25:M31">P25/4</f>
        <v>3500</v>
      </c>
      <c r="N25" s="6">
        <f aca="true" t="shared" si="2" ref="N25:N31">P25/4</f>
        <v>3500</v>
      </c>
      <c r="O25" s="6">
        <f aca="true" t="shared" si="3" ref="O25:O31">P25/4</f>
        <v>3500</v>
      </c>
      <c r="P25" s="8">
        <v>14000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f>2675.7+120.1</f>
        <v>2795.7999999999997</v>
      </c>
      <c r="L26" s="8">
        <f t="shared" si="0"/>
        <v>5032.44</v>
      </c>
      <c r="M26" s="8">
        <f t="shared" si="1"/>
        <v>5032.44</v>
      </c>
      <c r="N26" s="8">
        <f t="shared" si="2"/>
        <v>5032.44</v>
      </c>
      <c r="O26" s="8">
        <f t="shared" si="3"/>
        <v>5032.44</v>
      </c>
      <c r="P26" s="8">
        <f>J26*K26*12</f>
        <v>20129.76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f>2675.7+120.1</f>
        <v>2795.7999999999997</v>
      </c>
      <c r="L27" s="8">
        <f t="shared" si="0"/>
        <v>9477.761999999999</v>
      </c>
      <c r="M27" s="8">
        <f t="shared" si="1"/>
        <v>9477.761999999999</v>
      </c>
      <c r="N27" s="8">
        <f t="shared" si="2"/>
        <v>9477.761999999999</v>
      </c>
      <c r="O27" s="8">
        <f t="shared" si="3"/>
        <v>9477.761999999999</v>
      </c>
      <c r="P27" s="8">
        <f>K27*J27*12</f>
        <v>37911.047999999995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f>2675.7+120.1</f>
        <v>2795.7999999999997</v>
      </c>
      <c r="L28" s="8">
        <f t="shared" si="0"/>
        <v>3942.0779999999995</v>
      </c>
      <c r="M28" s="8">
        <f t="shared" si="1"/>
        <v>3942.0779999999995</v>
      </c>
      <c r="N28" s="8">
        <f t="shared" si="2"/>
        <v>3942.0779999999995</v>
      </c>
      <c r="O28" s="8">
        <f t="shared" si="3"/>
        <v>3942.0779999999995</v>
      </c>
      <c r="P28" s="8">
        <f>K28*J28*12</f>
        <v>15768.311999999998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5500</v>
      </c>
      <c r="M29" s="6">
        <f t="shared" si="1"/>
        <v>5500</v>
      </c>
      <c r="N29" s="6">
        <f t="shared" si="2"/>
        <v>5500</v>
      </c>
      <c r="O29" s="6">
        <f t="shared" si="3"/>
        <v>5500</v>
      </c>
      <c r="P29" s="6">
        <v>22000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2675.7</v>
      </c>
      <c r="L30" s="8">
        <f t="shared" si="0"/>
        <v>9632.519999999999</v>
      </c>
      <c r="M30" s="8">
        <f t="shared" si="1"/>
        <v>9632.519999999999</v>
      </c>
      <c r="N30" s="8">
        <f t="shared" si="2"/>
        <v>9632.519999999999</v>
      </c>
      <c r="O30" s="8">
        <f t="shared" si="3"/>
        <v>9632.519999999999</v>
      </c>
      <c r="P30" s="8">
        <f>J30*K30*12</f>
        <v>38530.079999999994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2675.7</v>
      </c>
      <c r="L31" s="8">
        <f t="shared" si="0"/>
        <v>6421.68</v>
      </c>
      <c r="M31" s="8">
        <f t="shared" si="1"/>
        <v>6421.68</v>
      </c>
      <c r="N31" s="8">
        <f t="shared" si="2"/>
        <v>6421.68</v>
      </c>
      <c r="O31" s="8">
        <f t="shared" si="3"/>
        <v>6421.68</v>
      </c>
      <c r="P31" s="8">
        <f>K31*J31*12</f>
        <v>25686.72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6127.75</v>
      </c>
      <c r="M33" s="8">
        <f>P33/4</f>
        <v>6127.75</v>
      </c>
      <c r="N33" s="8">
        <f>P33/4</f>
        <v>6127.75</v>
      </c>
      <c r="O33" s="8">
        <f>P33/4</f>
        <v>6127.75</v>
      </c>
      <c r="P33" s="8">
        <v>24511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708</v>
      </c>
      <c r="L34" s="6"/>
      <c r="M34" s="8">
        <f>P34/2</f>
        <v>354</v>
      </c>
      <c r="N34" s="6"/>
      <c r="O34" s="8">
        <f>P34/2</f>
        <v>354</v>
      </c>
      <c r="P34" s="8">
        <f>K34*J34</f>
        <v>708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f>2675.7+120.1</f>
        <v>2795.7999999999997</v>
      </c>
      <c r="L36" s="6">
        <f>P36/4</f>
        <v>4025.9519999999998</v>
      </c>
      <c r="M36" s="8">
        <f>P36/4</f>
        <v>4025.9519999999998</v>
      </c>
      <c r="N36" s="8">
        <f>P36/4</f>
        <v>4025.9519999999998</v>
      </c>
      <c r="O36" s="8">
        <f>P36/4</f>
        <v>4025.9519999999998</v>
      </c>
      <c r="P36" s="8">
        <f>K36*J36*12</f>
        <v>16103.807999999999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2675.7</v>
      </c>
      <c r="L38" s="6">
        <f>P38/4</f>
        <v>15251.489999999998</v>
      </c>
      <c r="M38" s="8">
        <f>P38/4</f>
        <v>15251.489999999998</v>
      </c>
      <c r="N38" s="8">
        <f>P38/4</f>
        <v>15251.489999999998</v>
      </c>
      <c r="O38" s="8">
        <f>P38/4</f>
        <v>15251.489999999998</v>
      </c>
      <c r="P38" s="8">
        <f>K38*J38*12</f>
        <v>61005.95999999999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6">
        <f>P40/4</f>
        <v>4026</v>
      </c>
      <c r="M40" s="8">
        <f>P40/4</f>
        <v>4026</v>
      </c>
      <c r="N40" s="8">
        <f>P40/4</f>
        <v>4026</v>
      </c>
      <c r="O40" s="8">
        <f>P40/4</f>
        <v>4026</v>
      </c>
      <c r="P40" s="8">
        <v>16104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64</v>
      </c>
      <c r="L41" s="8">
        <f>J41*K41*3</f>
        <v>756.48</v>
      </c>
      <c r="M41" s="8">
        <f>L41</f>
        <v>756.48</v>
      </c>
      <c r="N41" s="8">
        <f>M41</f>
        <v>756.48</v>
      </c>
      <c r="O41" s="8">
        <f>N41</f>
        <v>756.48</v>
      </c>
      <c r="P41" s="8">
        <f>J41*K41*12</f>
        <v>3025.92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73694.15199999999</v>
      </c>
      <c r="M42" s="14">
        <f>SUM(M25:M41)</f>
        <v>74048.15199999999</v>
      </c>
      <c r="N42" s="14">
        <f>SUM(N25:N41)</f>
        <v>73694.15199999999</v>
      </c>
      <c r="O42" s="14">
        <f>SUM(O25:O41)</f>
        <v>74048.15199999999</v>
      </c>
      <c r="P42" s="14">
        <f>SUM(P25:P41)</f>
        <v>295484.60799999995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I15</f>
        <v>40293.34415999999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335777.9521599999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1:B1"/>
    <mergeCell ref="A3:B3"/>
    <mergeCell ref="L3:P3"/>
    <mergeCell ref="L4:P4"/>
    <mergeCell ref="A11:H11"/>
    <mergeCell ref="A6:P6"/>
    <mergeCell ref="A7:P7"/>
    <mergeCell ref="A9:H9"/>
    <mergeCell ref="A10:H10"/>
    <mergeCell ref="A20:H20"/>
    <mergeCell ref="A16:G16"/>
    <mergeCell ref="A14:G14"/>
    <mergeCell ref="A12:H12"/>
    <mergeCell ref="A13:H13"/>
    <mergeCell ref="A15:G15"/>
    <mergeCell ref="A17:H17"/>
    <mergeCell ref="A18:H18"/>
    <mergeCell ref="A19:H19"/>
    <mergeCell ref="P22:P23"/>
    <mergeCell ref="A24:H24"/>
    <mergeCell ref="A25:H25"/>
    <mergeCell ref="A22:H23"/>
    <mergeCell ref="I22:I23"/>
    <mergeCell ref="J22:J23"/>
    <mergeCell ref="K22:K23"/>
    <mergeCell ref="A27:H27"/>
    <mergeCell ref="A28:H28"/>
    <mergeCell ref="A29:H29"/>
    <mergeCell ref="L22:O22"/>
    <mergeCell ref="A39:H39"/>
    <mergeCell ref="A40:H40"/>
    <mergeCell ref="A41:H41"/>
    <mergeCell ref="A38:H38"/>
    <mergeCell ref="A42:H42"/>
    <mergeCell ref="A43:H43"/>
    <mergeCell ref="A44:H44"/>
    <mergeCell ref="A45:H45"/>
    <mergeCell ref="A21:P21"/>
    <mergeCell ref="A35:H35"/>
    <mergeCell ref="A36:H36"/>
    <mergeCell ref="A37:H37"/>
    <mergeCell ref="A34:H34"/>
    <mergeCell ref="A30:H30"/>
    <mergeCell ref="A31:H31"/>
    <mergeCell ref="A32:G32"/>
    <mergeCell ref="A33:H33"/>
    <mergeCell ref="A26:H26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5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235556.40000000002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K27*I19*12</f>
        <v>17102.04</v>
      </c>
    </row>
    <row r="13" spans="1:9" ht="16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K31*I20*12</f>
        <v>70666.92</v>
      </c>
    </row>
    <row r="14" spans="1:9" ht="15" customHeight="1">
      <c r="A14" s="125" t="s">
        <v>43</v>
      </c>
      <c r="B14" s="126"/>
      <c r="C14" s="126"/>
      <c r="D14" s="126"/>
      <c r="E14" s="126"/>
      <c r="F14" s="126"/>
      <c r="G14" s="126"/>
      <c r="H14" s="18"/>
      <c r="I14" s="16"/>
    </row>
    <row r="15" spans="1:9" ht="14.25" customHeight="1">
      <c r="A15" s="119" t="s">
        <v>44</v>
      </c>
      <c r="B15" s="120"/>
      <c r="C15" s="120"/>
      <c r="D15" s="120"/>
      <c r="E15" s="120"/>
      <c r="F15" s="120"/>
      <c r="G15" s="120"/>
      <c r="H15" s="18"/>
      <c r="I15" s="19">
        <f>SUM(I11+I12+I13)*12%</f>
        <v>38799.04320000001</v>
      </c>
    </row>
    <row r="16" spans="1:9" ht="11.25" customHeight="1">
      <c r="A16" s="91" t="s">
        <v>46</v>
      </c>
      <c r="B16" s="92"/>
      <c r="C16" s="92"/>
      <c r="D16" s="92"/>
      <c r="E16" s="92"/>
      <c r="F16" s="92"/>
      <c r="G16" s="92"/>
      <c r="H16" s="18"/>
      <c r="I16" s="8">
        <f>I15</f>
        <v>38799.04320000001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(I11+I12+I13)-I16</f>
        <v>284526.31680000003</v>
      </c>
    </row>
    <row r="18" spans="1:9" ht="24.75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4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21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2250</v>
      </c>
      <c r="M25" s="6">
        <f aca="true" t="shared" si="1" ref="M25:M31">P25/4</f>
        <v>2250</v>
      </c>
      <c r="N25" s="6">
        <f aca="true" t="shared" si="2" ref="N25:N31">P25/4</f>
        <v>2250</v>
      </c>
      <c r="O25" s="6">
        <f aca="true" t="shared" si="3" ref="O25:O31">P25/4</f>
        <v>2250</v>
      </c>
      <c r="P25" s="8">
        <v>9000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2689</v>
      </c>
      <c r="L26" s="8">
        <f t="shared" si="0"/>
        <v>4840.2</v>
      </c>
      <c r="M26" s="8">
        <f t="shared" si="1"/>
        <v>4840.2</v>
      </c>
      <c r="N26" s="8">
        <f t="shared" si="2"/>
        <v>4840.2</v>
      </c>
      <c r="O26" s="8">
        <f t="shared" si="3"/>
        <v>4840.2</v>
      </c>
      <c r="P26" s="8">
        <f>J26*K26*12</f>
        <v>19360.8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2689</v>
      </c>
      <c r="L27" s="8">
        <f t="shared" si="0"/>
        <v>9115.71</v>
      </c>
      <c r="M27" s="8">
        <f t="shared" si="1"/>
        <v>9115.71</v>
      </c>
      <c r="N27" s="8">
        <f t="shared" si="2"/>
        <v>9115.71</v>
      </c>
      <c r="O27" s="8">
        <f t="shared" si="3"/>
        <v>9115.71</v>
      </c>
      <c r="P27" s="8">
        <f>K27*J27*12</f>
        <v>36462.84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2689</v>
      </c>
      <c r="L28" s="8">
        <f t="shared" si="0"/>
        <v>3791.49</v>
      </c>
      <c r="M28" s="8">
        <f t="shared" si="1"/>
        <v>3791.49</v>
      </c>
      <c r="N28" s="8">
        <f t="shared" si="2"/>
        <v>3791.49</v>
      </c>
      <c r="O28" s="8">
        <f t="shared" si="3"/>
        <v>3791.49</v>
      </c>
      <c r="P28" s="8">
        <f>K28*J28*12</f>
        <v>15165.96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4750</v>
      </c>
      <c r="M29" s="6">
        <f t="shared" si="1"/>
        <v>4750</v>
      </c>
      <c r="N29" s="6">
        <f t="shared" si="2"/>
        <v>4750</v>
      </c>
      <c r="O29" s="6">
        <f t="shared" si="3"/>
        <v>4750</v>
      </c>
      <c r="P29" s="6">
        <v>19000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2689</v>
      </c>
      <c r="L30" s="8">
        <f t="shared" si="0"/>
        <v>9680.4</v>
      </c>
      <c r="M30" s="8">
        <f t="shared" si="1"/>
        <v>9680.4</v>
      </c>
      <c r="N30" s="8">
        <f t="shared" si="2"/>
        <v>9680.4</v>
      </c>
      <c r="O30" s="8">
        <f t="shared" si="3"/>
        <v>9680.4</v>
      </c>
      <c r="P30" s="8">
        <f>J30*K30*12</f>
        <v>38721.6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2689</v>
      </c>
      <c r="L31" s="8">
        <f t="shared" si="0"/>
        <v>6453.6</v>
      </c>
      <c r="M31" s="8">
        <f t="shared" si="1"/>
        <v>6453.6</v>
      </c>
      <c r="N31" s="8">
        <f t="shared" si="2"/>
        <v>6453.6</v>
      </c>
      <c r="O31" s="8">
        <f t="shared" si="3"/>
        <v>6453.6</v>
      </c>
      <c r="P31" s="8">
        <f>K31*0.8*12</f>
        <v>25814.4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6293.5</v>
      </c>
      <c r="M33" s="8">
        <f>P33/4</f>
        <v>6293.5</v>
      </c>
      <c r="N33" s="8">
        <f>P33/4</f>
        <v>6293.5</v>
      </c>
      <c r="O33" s="8">
        <f>P33/4</f>
        <v>6293.5</v>
      </c>
      <c r="P33" s="8">
        <v>25174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703</v>
      </c>
      <c r="L34" s="6"/>
      <c r="M34" s="8">
        <f>P34/2</f>
        <v>351.5</v>
      </c>
      <c r="N34" s="6"/>
      <c r="O34" s="8">
        <v>351</v>
      </c>
      <c r="P34" s="8">
        <f>K34*J34</f>
        <v>703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2689</v>
      </c>
      <c r="L36" s="8">
        <f>P36/4</f>
        <v>3872.16</v>
      </c>
      <c r="M36" s="8">
        <f>P36/4</f>
        <v>3872.16</v>
      </c>
      <c r="N36" s="8">
        <f>P36/4</f>
        <v>3872.16</v>
      </c>
      <c r="O36" s="8">
        <f>P36/4</f>
        <v>3872.16</v>
      </c>
      <c r="P36" s="8">
        <f>K36*J36*12</f>
        <v>15488.64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2689</v>
      </c>
      <c r="L38" s="8">
        <f>P38/4</f>
        <v>15327.3</v>
      </c>
      <c r="M38" s="8">
        <f>P38/4</f>
        <v>15327.3</v>
      </c>
      <c r="N38" s="8">
        <f>P38/4</f>
        <v>15327.3</v>
      </c>
      <c r="O38" s="8">
        <f>P38/4</f>
        <v>15327.3</v>
      </c>
      <c r="P38" s="8">
        <f>K38*J38*12</f>
        <v>61309.2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6">
        <f>P40/4</f>
        <v>3872.25</v>
      </c>
      <c r="M40" s="8">
        <f>P40/4</f>
        <v>3872.25</v>
      </c>
      <c r="N40" s="8">
        <f>P40/4</f>
        <v>3872.25</v>
      </c>
      <c r="O40" s="8">
        <f>P40/4</f>
        <v>3872.25</v>
      </c>
      <c r="P40" s="8">
        <v>15489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60</v>
      </c>
      <c r="L41" s="8">
        <f>J41*K41*3</f>
        <v>709.2</v>
      </c>
      <c r="M41" s="8">
        <f>L41</f>
        <v>709.2</v>
      </c>
      <c r="N41" s="8">
        <f>M41</f>
        <v>709.2</v>
      </c>
      <c r="O41" s="8">
        <f>N41</f>
        <v>709.2</v>
      </c>
      <c r="P41" s="8">
        <f>J41*K41*12</f>
        <v>2836.8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70955.81</v>
      </c>
      <c r="M42" s="14">
        <f>SUM(M25:M41)</f>
        <v>71307.31</v>
      </c>
      <c r="N42" s="14">
        <f>SUM(N25:N41)</f>
        <v>70955.81</v>
      </c>
      <c r="O42" s="14">
        <f>SUM(O25:O41)</f>
        <v>71306.81</v>
      </c>
      <c r="P42" s="14">
        <f>SUM(P25:P41)</f>
        <v>284526.24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38799.04320000001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323325.2832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1:B1"/>
    <mergeCell ref="A3:B3"/>
    <mergeCell ref="A11:H11"/>
    <mergeCell ref="A6:P6"/>
    <mergeCell ref="A7:P7"/>
    <mergeCell ref="A9:H9"/>
    <mergeCell ref="A10:H10"/>
    <mergeCell ref="L3:P3"/>
    <mergeCell ref="L4:P4"/>
    <mergeCell ref="A12:H12"/>
    <mergeCell ref="A13:H13"/>
    <mergeCell ref="A20:H20"/>
    <mergeCell ref="A21:I21"/>
    <mergeCell ref="A18:H18"/>
    <mergeCell ref="A17:H17"/>
    <mergeCell ref="A15:G15"/>
    <mergeCell ref="A19:H19"/>
    <mergeCell ref="A16:G16"/>
    <mergeCell ref="A14:G14"/>
    <mergeCell ref="L22:O22"/>
    <mergeCell ref="P22:P23"/>
    <mergeCell ref="A24:H24"/>
    <mergeCell ref="A25:H25"/>
    <mergeCell ref="A22:H23"/>
    <mergeCell ref="I22:I23"/>
    <mergeCell ref="J22:J23"/>
    <mergeCell ref="K22:K23"/>
    <mergeCell ref="A26:H26"/>
    <mergeCell ref="A27:H27"/>
    <mergeCell ref="A28:H28"/>
    <mergeCell ref="A29:H29"/>
    <mergeCell ref="A30:H30"/>
    <mergeCell ref="A31:H31"/>
    <mergeCell ref="A32:G32"/>
    <mergeCell ref="A33:H33"/>
    <mergeCell ref="A34:H34"/>
    <mergeCell ref="A39:H39"/>
    <mergeCell ref="A40:H40"/>
    <mergeCell ref="A41:H41"/>
    <mergeCell ref="A35:H35"/>
    <mergeCell ref="A36:H36"/>
    <mergeCell ref="A37:H37"/>
    <mergeCell ref="A38:H38"/>
    <mergeCell ref="A42:H42"/>
    <mergeCell ref="A43:H43"/>
    <mergeCell ref="A44:H44"/>
    <mergeCell ref="A45:H45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4">
      <selection activeCell="P41" sqref="P41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348078.6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K27*I19*12</f>
        <v>25271.46</v>
      </c>
    </row>
    <row r="13" spans="1:9" ht="16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K31*I20*12</f>
        <v>104423.58</v>
      </c>
    </row>
    <row r="14" spans="1:9" ht="15.75" customHeight="1">
      <c r="A14" s="125" t="s">
        <v>43</v>
      </c>
      <c r="B14" s="126"/>
      <c r="C14" s="126"/>
      <c r="D14" s="126"/>
      <c r="E14" s="126"/>
      <c r="F14" s="126"/>
      <c r="G14" s="126"/>
      <c r="H14" s="18"/>
      <c r="I14" s="16"/>
    </row>
    <row r="15" spans="1:9" ht="15.75" customHeight="1">
      <c r="A15" s="119" t="s">
        <v>44</v>
      </c>
      <c r="B15" s="120"/>
      <c r="C15" s="120"/>
      <c r="D15" s="120"/>
      <c r="E15" s="120"/>
      <c r="F15" s="120"/>
      <c r="G15" s="120"/>
      <c r="H15" s="18"/>
      <c r="I15" s="19">
        <f>SUM(I11+I12+I13)*12%</f>
        <v>57332.8368</v>
      </c>
    </row>
    <row r="16" spans="1:9" ht="11.25" customHeight="1">
      <c r="A16" s="91" t="s">
        <v>46</v>
      </c>
      <c r="B16" s="92"/>
      <c r="C16" s="92"/>
      <c r="D16" s="92"/>
      <c r="E16" s="92"/>
      <c r="F16" s="92"/>
      <c r="G16" s="92"/>
      <c r="H16" s="18"/>
      <c r="I16" s="8">
        <f>I15</f>
        <v>57332.8368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(I11+I12+I13)-I16</f>
        <v>420440.8032</v>
      </c>
    </row>
    <row r="18" spans="1:9" ht="24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2.5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8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4500</v>
      </c>
      <c r="M25" s="6">
        <f aca="true" t="shared" si="1" ref="M25:M31">P25/4</f>
        <v>4500</v>
      </c>
      <c r="N25" s="6">
        <f aca="true" t="shared" si="2" ref="N25:N31">P25/4</f>
        <v>4500</v>
      </c>
      <c r="O25" s="6">
        <f aca="true" t="shared" si="3" ref="O25:O31">P25/4</f>
        <v>4500</v>
      </c>
      <c r="P25" s="8">
        <v>18000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3973.5</v>
      </c>
      <c r="L26" s="8">
        <f t="shared" si="0"/>
        <v>7152.299999999999</v>
      </c>
      <c r="M26" s="8">
        <f t="shared" si="1"/>
        <v>7152.299999999999</v>
      </c>
      <c r="N26" s="8">
        <f t="shared" si="2"/>
        <v>7152.299999999999</v>
      </c>
      <c r="O26" s="8">
        <f t="shared" si="3"/>
        <v>7152.299999999999</v>
      </c>
      <c r="P26" s="8">
        <f>J26*K26*12</f>
        <v>28609.199999999997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3973.5</v>
      </c>
      <c r="L27" s="8">
        <f t="shared" si="0"/>
        <v>13470.164999999997</v>
      </c>
      <c r="M27" s="8">
        <f t="shared" si="1"/>
        <v>13470.164999999997</v>
      </c>
      <c r="N27" s="8">
        <f t="shared" si="2"/>
        <v>13470.164999999997</v>
      </c>
      <c r="O27" s="8">
        <f t="shared" si="3"/>
        <v>13470.164999999997</v>
      </c>
      <c r="P27" s="8">
        <f>K27*J27*12</f>
        <v>53880.65999999999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3973.5</v>
      </c>
      <c r="L28" s="8">
        <f t="shared" si="0"/>
        <v>5602.634999999999</v>
      </c>
      <c r="M28" s="8">
        <f t="shared" si="1"/>
        <v>5602.634999999999</v>
      </c>
      <c r="N28" s="8">
        <f t="shared" si="2"/>
        <v>5602.634999999999</v>
      </c>
      <c r="O28" s="8">
        <f t="shared" si="3"/>
        <v>5602.634999999999</v>
      </c>
      <c r="P28" s="8">
        <f>K28*J28*12</f>
        <v>22410.539999999997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6500</v>
      </c>
      <c r="M29" s="6">
        <f t="shared" si="1"/>
        <v>6500</v>
      </c>
      <c r="N29" s="6">
        <f t="shared" si="2"/>
        <v>6500</v>
      </c>
      <c r="O29" s="6">
        <f t="shared" si="3"/>
        <v>6500</v>
      </c>
      <c r="P29" s="6">
        <v>26000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3973.5</v>
      </c>
      <c r="L30" s="8">
        <f t="shared" si="0"/>
        <v>14304.599999999999</v>
      </c>
      <c r="M30" s="8">
        <f t="shared" si="1"/>
        <v>14304.599999999999</v>
      </c>
      <c r="N30" s="8">
        <f t="shared" si="2"/>
        <v>14304.599999999999</v>
      </c>
      <c r="O30" s="8">
        <f t="shared" si="3"/>
        <v>14304.599999999999</v>
      </c>
      <c r="P30" s="8">
        <f>J30*K30*12</f>
        <v>57218.399999999994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3973.5</v>
      </c>
      <c r="L31" s="8">
        <f t="shared" si="0"/>
        <v>9536.400000000001</v>
      </c>
      <c r="M31" s="8">
        <f t="shared" si="1"/>
        <v>9536.400000000001</v>
      </c>
      <c r="N31" s="8">
        <f t="shared" si="2"/>
        <v>9536.400000000001</v>
      </c>
      <c r="O31" s="8">
        <f t="shared" si="3"/>
        <v>9536.400000000001</v>
      </c>
      <c r="P31" s="8">
        <f>K31*J31*12</f>
        <v>38145.600000000006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8527.25</v>
      </c>
      <c r="M33" s="8">
        <f>P33/4</f>
        <v>8527.25</v>
      </c>
      <c r="N33" s="8">
        <f>P33/4</f>
        <v>8527.25</v>
      </c>
      <c r="O33" s="8">
        <f>P33/4</f>
        <v>8527.25</v>
      </c>
      <c r="P33" s="8">
        <v>34109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1300</v>
      </c>
      <c r="L34" s="6"/>
      <c r="M34" s="8">
        <f>P34/2</f>
        <v>650</v>
      </c>
      <c r="N34" s="6"/>
      <c r="O34" s="8">
        <v>650</v>
      </c>
      <c r="P34" s="8">
        <f>K34*J34</f>
        <v>1300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3973.5</v>
      </c>
      <c r="L36" s="8">
        <f>P36/4</f>
        <v>5721.84</v>
      </c>
      <c r="M36" s="8">
        <f>P36/4</f>
        <v>5721.84</v>
      </c>
      <c r="N36" s="8">
        <f>P36/4</f>
        <v>5721.84</v>
      </c>
      <c r="O36" s="8">
        <f>P36/4</f>
        <v>5721.84</v>
      </c>
      <c r="P36" s="8">
        <f>K36*J36*12</f>
        <v>22887.36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3973.5</v>
      </c>
      <c r="L38" s="6">
        <f>P38/4</f>
        <v>22648.949999999997</v>
      </c>
      <c r="M38" s="8">
        <f>P38/4</f>
        <v>22648.949999999997</v>
      </c>
      <c r="N38" s="6">
        <f>P38/4</f>
        <v>22648.949999999997</v>
      </c>
      <c r="O38" s="8">
        <f>P38/4</f>
        <v>22648.949999999997</v>
      </c>
      <c r="P38" s="8">
        <f>K38*J38*12</f>
        <v>90595.79999999999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5721.75</v>
      </c>
      <c r="M40" s="8">
        <f>P40/4</f>
        <v>5721.75</v>
      </c>
      <c r="N40" s="8">
        <f>P40/4</f>
        <v>5721.75</v>
      </c>
      <c r="O40" s="8">
        <f>P40/4</f>
        <v>5721.75</v>
      </c>
      <c r="P40" s="8">
        <v>22887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93</v>
      </c>
      <c r="L41" s="8">
        <f>J41*K41*3</f>
        <v>1099.26</v>
      </c>
      <c r="M41" s="8">
        <f>L41</f>
        <v>1099.26</v>
      </c>
      <c r="N41" s="8">
        <f>M41</f>
        <v>1099.26</v>
      </c>
      <c r="O41" s="8">
        <f>N41</f>
        <v>1099.26</v>
      </c>
      <c r="P41" s="8">
        <f>J41*K41*12</f>
        <v>4397.04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104785.14999999998</v>
      </c>
      <c r="M42" s="14">
        <f>SUM(M25:M41)</f>
        <v>105435.14999999998</v>
      </c>
      <c r="N42" s="14">
        <f>SUM(N25:N41)</f>
        <v>104785.14999999998</v>
      </c>
      <c r="O42" s="14">
        <f>SUM(O25:O41)</f>
        <v>105435.14999999998</v>
      </c>
      <c r="P42" s="14">
        <f>SUM(P25:P41)</f>
        <v>420440.5999999999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57332.8368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477773.4367999999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42:H42"/>
    <mergeCell ref="A43:H43"/>
    <mergeCell ref="A44:H44"/>
    <mergeCell ref="A45:H45"/>
    <mergeCell ref="A34:H34"/>
    <mergeCell ref="A39:H39"/>
    <mergeCell ref="A40:H40"/>
    <mergeCell ref="A41:H41"/>
    <mergeCell ref="A35:H35"/>
    <mergeCell ref="A36:H36"/>
    <mergeCell ref="A37:H37"/>
    <mergeCell ref="A38:H38"/>
    <mergeCell ref="A30:H30"/>
    <mergeCell ref="A31:H31"/>
    <mergeCell ref="A32:G32"/>
    <mergeCell ref="A33:H33"/>
    <mergeCell ref="A26:H26"/>
    <mergeCell ref="A27:H27"/>
    <mergeCell ref="A28:H28"/>
    <mergeCell ref="A29:H29"/>
    <mergeCell ref="A25:H25"/>
    <mergeCell ref="A22:H23"/>
    <mergeCell ref="I22:I23"/>
    <mergeCell ref="J22:J23"/>
    <mergeCell ref="A21:I21"/>
    <mergeCell ref="L22:O22"/>
    <mergeCell ref="P22:P23"/>
    <mergeCell ref="A24:H24"/>
    <mergeCell ref="K22:K23"/>
    <mergeCell ref="A17:H17"/>
    <mergeCell ref="A18:H18"/>
    <mergeCell ref="A19:H19"/>
    <mergeCell ref="A20:H20"/>
    <mergeCell ref="A11:H11"/>
    <mergeCell ref="A16:G16"/>
    <mergeCell ref="A14:G14"/>
    <mergeCell ref="A12:H12"/>
    <mergeCell ref="A13:H13"/>
    <mergeCell ref="A15:G15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Q38" sqref="Q38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7.25*K24*12</f>
        <v>260686.80000000002</v>
      </c>
    </row>
    <row r="12" spans="1:9" ht="15" customHeight="1">
      <c r="A12" s="62" t="s">
        <v>106</v>
      </c>
      <c r="B12" s="62"/>
      <c r="C12" s="62"/>
      <c r="D12" s="62"/>
      <c r="E12" s="62"/>
      <c r="F12" s="62"/>
      <c r="G12" s="62"/>
      <c r="H12" s="62"/>
      <c r="I12" s="8">
        <f>K29*I18*12</f>
        <v>78745.39199999999</v>
      </c>
    </row>
    <row r="13" spans="1:9" ht="12" customHeight="1">
      <c r="A13" s="125" t="s">
        <v>43</v>
      </c>
      <c r="B13" s="126"/>
      <c r="C13" s="126"/>
      <c r="D13" s="126"/>
      <c r="E13" s="126"/>
      <c r="F13" s="126"/>
      <c r="G13" s="126"/>
      <c r="H13" s="18"/>
      <c r="I13" s="16"/>
    </row>
    <row r="14" spans="1:9" ht="11.25" customHeight="1">
      <c r="A14" s="119" t="s">
        <v>44</v>
      </c>
      <c r="B14" s="120"/>
      <c r="C14" s="120"/>
      <c r="D14" s="120"/>
      <c r="E14" s="120"/>
      <c r="F14" s="120"/>
      <c r="G14" s="120"/>
      <c r="H14" s="18"/>
      <c r="I14" s="19">
        <f>SUM(I11:I12)*12%</f>
        <v>40731.863040000004</v>
      </c>
    </row>
    <row r="15" spans="1:9" ht="12" customHeight="1">
      <c r="A15" s="91" t="s">
        <v>46</v>
      </c>
      <c r="B15" s="92"/>
      <c r="C15" s="92"/>
      <c r="D15" s="92"/>
      <c r="E15" s="92"/>
      <c r="F15" s="92"/>
      <c r="G15" s="92"/>
      <c r="H15" s="18"/>
      <c r="I15" s="8">
        <f>I14</f>
        <v>40731.863040000004</v>
      </c>
    </row>
    <row r="16" spans="1:9" ht="12" customHeight="1">
      <c r="A16" s="88" t="s">
        <v>4</v>
      </c>
      <c r="B16" s="89"/>
      <c r="C16" s="89"/>
      <c r="D16" s="89"/>
      <c r="E16" s="89"/>
      <c r="F16" s="89"/>
      <c r="G16" s="89"/>
      <c r="H16" s="90"/>
      <c r="I16" s="14">
        <f>SUM(I11:I12)-I14</f>
        <v>298700.32896</v>
      </c>
    </row>
    <row r="17" spans="1:9" ht="25.5" customHeight="1">
      <c r="A17" s="85" t="s">
        <v>5</v>
      </c>
      <c r="B17" s="86"/>
      <c r="C17" s="86"/>
      <c r="D17" s="86"/>
      <c r="E17" s="86"/>
      <c r="F17" s="86"/>
      <c r="G17" s="86"/>
      <c r="H17" s="87"/>
      <c r="I17" s="6">
        <v>7.25</v>
      </c>
    </row>
    <row r="18" spans="1:9" ht="21" customHeight="1">
      <c r="A18" s="86" t="s">
        <v>103</v>
      </c>
      <c r="B18" s="86"/>
      <c r="C18" s="86"/>
      <c r="D18" s="86"/>
      <c r="E18" s="86"/>
      <c r="F18" s="86"/>
      <c r="G18" s="86"/>
      <c r="H18" s="87"/>
      <c r="I18" s="6">
        <v>2.19</v>
      </c>
    </row>
    <row r="19" spans="1:9" ht="15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16" ht="15" customHeight="1">
      <c r="A20" s="101" t="s">
        <v>7</v>
      </c>
      <c r="B20" s="101"/>
      <c r="C20" s="101"/>
      <c r="D20" s="101"/>
      <c r="E20" s="101"/>
      <c r="F20" s="101"/>
      <c r="G20" s="101"/>
      <c r="H20" s="101"/>
      <c r="I20" s="102" t="s">
        <v>8</v>
      </c>
      <c r="J20" s="102" t="s">
        <v>9</v>
      </c>
      <c r="K20" s="102" t="s">
        <v>10</v>
      </c>
      <c r="L20" s="99" t="s">
        <v>11</v>
      </c>
      <c r="M20" s="99"/>
      <c r="N20" s="99"/>
      <c r="O20" s="100"/>
      <c r="P20" s="101" t="s">
        <v>16</v>
      </c>
    </row>
    <row r="21" spans="1:16" ht="18.75" customHeight="1">
      <c r="A21" s="101"/>
      <c r="B21" s="101"/>
      <c r="C21" s="101"/>
      <c r="D21" s="101"/>
      <c r="E21" s="101"/>
      <c r="F21" s="101"/>
      <c r="G21" s="101"/>
      <c r="H21" s="101"/>
      <c r="I21" s="103"/>
      <c r="J21" s="103"/>
      <c r="K21" s="103"/>
      <c r="L21" s="6" t="s">
        <v>12</v>
      </c>
      <c r="M21" s="6" t="s">
        <v>13</v>
      </c>
      <c r="N21" s="6" t="s">
        <v>14</v>
      </c>
      <c r="O21" s="6" t="s">
        <v>15</v>
      </c>
      <c r="P21" s="101"/>
    </row>
    <row r="22" spans="1:16" ht="15">
      <c r="A22" s="45" t="s">
        <v>17</v>
      </c>
      <c r="B22" s="46"/>
      <c r="C22" s="46"/>
      <c r="D22" s="46"/>
      <c r="E22" s="46"/>
      <c r="F22" s="46"/>
      <c r="G22" s="46"/>
      <c r="H22" s="47"/>
      <c r="I22" s="5"/>
      <c r="J22" s="2"/>
      <c r="K22" s="2"/>
      <c r="L22" s="6"/>
      <c r="M22" s="6"/>
      <c r="N22" s="6"/>
      <c r="O22" s="6"/>
      <c r="P22" s="2"/>
    </row>
    <row r="23" spans="1:16" ht="15">
      <c r="A23" s="48" t="s">
        <v>18</v>
      </c>
      <c r="B23" s="49"/>
      <c r="C23" s="49"/>
      <c r="D23" s="49"/>
      <c r="E23" s="49"/>
      <c r="F23" s="49"/>
      <c r="G23" s="49"/>
      <c r="H23" s="84"/>
      <c r="I23" s="5"/>
      <c r="J23" s="2"/>
      <c r="K23" s="2"/>
      <c r="L23" s="6">
        <f aca="true" t="shared" si="0" ref="L23:L29">P23/4</f>
        <v>3000</v>
      </c>
      <c r="M23" s="6">
        <f aca="true" t="shared" si="1" ref="M23:M29">P23/4</f>
        <v>3000</v>
      </c>
      <c r="N23" s="6">
        <f aca="true" t="shared" si="2" ref="N23:N29">P23/4</f>
        <v>3000</v>
      </c>
      <c r="O23" s="6">
        <f aca="true" t="shared" si="3" ref="O23:O29">P23/4</f>
        <v>3000</v>
      </c>
      <c r="P23" s="8">
        <v>12000</v>
      </c>
    </row>
    <row r="24" spans="1:18" ht="22.5">
      <c r="A24" s="48" t="s">
        <v>19</v>
      </c>
      <c r="B24" s="49"/>
      <c r="C24" s="49"/>
      <c r="D24" s="49"/>
      <c r="E24" s="49"/>
      <c r="F24" s="49"/>
      <c r="G24" s="49"/>
      <c r="H24" s="84"/>
      <c r="I24" s="4" t="s">
        <v>23</v>
      </c>
      <c r="J24" s="6">
        <v>0.6</v>
      </c>
      <c r="K24" s="6">
        <v>2996.4</v>
      </c>
      <c r="L24" s="8">
        <f t="shared" si="0"/>
        <v>5393.5199999999995</v>
      </c>
      <c r="M24" s="8">
        <f t="shared" si="1"/>
        <v>5393.5199999999995</v>
      </c>
      <c r="N24" s="8">
        <f t="shared" si="2"/>
        <v>5393.5199999999995</v>
      </c>
      <c r="O24" s="8">
        <f t="shared" si="3"/>
        <v>5393.5199999999995</v>
      </c>
      <c r="P24" s="8">
        <f>J24*K24*12</f>
        <v>21574.079999999998</v>
      </c>
      <c r="R24" s="12"/>
    </row>
    <row r="25" spans="1:16" ht="22.5">
      <c r="A25" s="48" t="s">
        <v>20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1.13</v>
      </c>
      <c r="K25" s="6">
        <v>2996.4</v>
      </c>
      <c r="L25" s="8">
        <f t="shared" si="0"/>
        <v>10157.795999999998</v>
      </c>
      <c r="M25" s="8">
        <f t="shared" si="1"/>
        <v>10157.795999999998</v>
      </c>
      <c r="N25" s="8">
        <f t="shared" si="2"/>
        <v>10157.795999999998</v>
      </c>
      <c r="O25" s="8">
        <f t="shared" si="3"/>
        <v>10157.795999999998</v>
      </c>
      <c r="P25" s="8">
        <f>K25*J25*12</f>
        <v>40631.183999999994</v>
      </c>
    </row>
    <row r="26" spans="1:16" ht="22.5">
      <c r="A26" s="48" t="s">
        <v>21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0.47</v>
      </c>
      <c r="K26" s="6">
        <v>2996.4</v>
      </c>
      <c r="L26" s="8">
        <f t="shared" si="0"/>
        <v>4224.924</v>
      </c>
      <c r="M26" s="8">
        <f t="shared" si="1"/>
        <v>4224.924</v>
      </c>
      <c r="N26" s="8">
        <f t="shared" si="2"/>
        <v>4224.924</v>
      </c>
      <c r="O26" s="8">
        <f t="shared" si="3"/>
        <v>4224.924</v>
      </c>
      <c r="P26" s="8">
        <f>K26*J26*12</f>
        <v>16899.696</v>
      </c>
    </row>
    <row r="27" spans="1:16" ht="21.75" customHeight="1">
      <c r="A27" s="85" t="s">
        <v>39</v>
      </c>
      <c r="B27" s="86"/>
      <c r="C27" s="86"/>
      <c r="D27" s="86"/>
      <c r="E27" s="86"/>
      <c r="F27" s="86"/>
      <c r="G27" s="86"/>
      <c r="H27" s="87"/>
      <c r="I27" s="4" t="s">
        <v>23</v>
      </c>
      <c r="J27" s="6"/>
      <c r="K27" s="6"/>
      <c r="L27" s="6">
        <f t="shared" si="0"/>
        <v>4750</v>
      </c>
      <c r="M27" s="6">
        <f t="shared" si="1"/>
        <v>4750</v>
      </c>
      <c r="N27" s="6">
        <f t="shared" si="2"/>
        <v>4750</v>
      </c>
      <c r="O27" s="6">
        <f t="shared" si="3"/>
        <v>4750</v>
      </c>
      <c r="P27" s="6">
        <v>19000</v>
      </c>
    </row>
    <row r="28" spans="1:16" ht="22.5">
      <c r="A28" s="48" t="s">
        <v>40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1.2</v>
      </c>
      <c r="K28" s="6">
        <v>2996.4</v>
      </c>
      <c r="L28" s="8">
        <f t="shared" si="0"/>
        <v>10787.039999999999</v>
      </c>
      <c r="M28" s="8">
        <f t="shared" si="1"/>
        <v>10787.039999999999</v>
      </c>
      <c r="N28" s="8">
        <f t="shared" si="2"/>
        <v>10787.039999999999</v>
      </c>
      <c r="O28" s="8">
        <f t="shared" si="3"/>
        <v>10787.039999999999</v>
      </c>
      <c r="P28" s="8">
        <f>J28*K28*12</f>
        <v>43148.159999999996</v>
      </c>
    </row>
    <row r="29" spans="1:16" ht="22.5" customHeight="1">
      <c r="A29" s="48" t="s">
        <v>41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0.8</v>
      </c>
      <c r="K29" s="6">
        <v>2996.4</v>
      </c>
      <c r="L29" s="8">
        <f t="shared" si="0"/>
        <v>7191.360000000001</v>
      </c>
      <c r="M29" s="8">
        <f t="shared" si="1"/>
        <v>7191.360000000001</v>
      </c>
      <c r="N29" s="8">
        <f t="shared" si="2"/>
        <v>7191.360000000001</v>
      </c>
      <c r="O29" s="8">
        <f t="shared" si="3"/>
        <v>7191.360000000001</v>
      </c>
      <c r="P29" s="8">
        <f>K29*0.8*12</f>
        <v>28765.440000000002</v>
      </c>
    </row>
    <row r="30" spans="1:16" ht="22.5" customHeight="1">
      <c r="A30" s="48" t="s">
        <v>47</v>
      </c>
      <c r="B30" s="49"/>
      <c r="C30" s="49"/>
      <c r="D30" s="49"/>
      <c r="E30" s="49"/>
      <c r="F30" s="49"/>
      <c r="G30" s="49"/>
      <c r="H30" s="17"/>
      <c r="I30" s="4" t="s">
        <v>24</v>
      </c>
      <c r="J30" s="6"/>
      <c r="K30" s="6"/>
      <c r="L30" s="6"/>
      <c r="M30" s="6"/>
      <c r="N30" s="6"/>
      <c r="O30" s="6"/>
      <c r="P30" s="8"/>
    </row>
    <row r="31" spans="1:16" ht="24" customHeight="1">
      <c r="A31" s="85" t="s">
        <v>48</v>
      </c>
      <c r="B31" s="86"/>
      <c r="C31" s="86"/>
      <c r="D31" s="86"/>
      <c r="E31" s="86"/>
      <c r="F31" s="86"/>
      <c r="G31" s="86"/>
      <c r="H31" s="87"/>
      <c r="I31" s="5"/>
      <c r="J31" s="6"/>
      <c r="K31" s="2"/>
      <c r="L31" s="8">
        <f>P31/4</f>
        <v>5885</v>
      </c>
      <c r="M31" s="8">
        <f>P31/4</f>
        <v>5885</v>
      </c>
      <c r="N31" s="8">
        <f>P31/4</f>
        <v>5885</v>
      </c>
      <c r="O31" s="8">
        <f>P31/4</f>
        <v>5885</v>
      </c>
      <c r="P31" s="8">
        <v>23540</v>
      </c>
    </row>
    <row r="32" spans="1:18" ht="15">
      <c r="A32" s="48" t="s">
        <v>49</v>
      </c>
      <c r="B32" s="49"/>
      <c r="C32" s="49"/>
      <c r="D32" s="49"/>
      <c r="E32" s="49"/>
      <c r="F32" s="49"/>
      <c r="G32" s="49"/>
      <c r="H32" s="84"/>
      <c r="I32" s="6" t="s">
        <v>25</v>
      </c>
      <c r="J32" s="6">
        <v>1</v>
      </c>
      <c r="K32" s="6"/>
      <c r="L32" s="6"/>
      <c r="M32" s="8">
        <f>P32/2</f>
        <v>0</v>
      </c>
      <c r="N32" s="6"/>
      <c r="O32" s="8"/>
      <c r="P32" s="8">
        <f>K32*J32</f>
        <v>0</v>
      </c>
      <c r="R32" s="12"/>
    </row>
    <row r="33" spans="1:18" ht="15">
      <c r="A33" s="45" t="s">
        <v>126</v>
      </c>
      <c r="B33" s="46"/>
      <c r="C33" s="46"/>
      <c r="D33" s="46"/>
      <c r="E33" s="46"/>
      <c r="F33" s="46"/>
      <c r="G33" s="46"/>
      <c r="H33" s="47"/>
      <c r="I33" s="4"/>
      <c r="J33" s="6"/>
      <c r="K33" s="6"/>
      <c r="L33" s="8"/>
      <c r="M33" s="8"/>
      <c r="N33" s="8"/>
      <c r="O33" s="8"/>
      <c r="P33" s="8"/>
      <c r="R33" s="12"/>
    </row>
    <row r="34" spans="1:18" ht="22.5">
      <c r="A34" s="48" t="s">
        <v>127</v>
      </c>
      <c r="B34" s="49"/>
      <c r="C34" s="49"/>
      <c r="D34" s="49"/>
      <c r="E34" s="49"/>
      <c r="F34" s="49"/>
      <c r="G34" s="49"/>
      <c r="H34" s="84"/>
      <c r="I34" s="4" t="s">
        <v>23</v>
      </c>
      <c r="J34" s="6">
        <v>1.9</v>
      </c>
      <c r="K34" s="6">
        <v>2996.4</v>
      </c>
      <c r="L34" s="8">
        <f>P34/4</f>
        <v>17079.48</v>
      </c>
      <c r="M34" s="8">
        <f>P34/4</f>
        <v>17079.48</v>
      </c>
      <c r="N34" s="8">
        <f>P34/4</f>
        <v>17079.48</v>
      </c>
      <c r="O34" s="8">
        <f>P34/4</f>
        <v>17079.48</v>
      </c>
      <c r="P34" s="8">
        <f>K34*J34*12</f>
        <v>68317.92</v>
      </c>
      <c r="R34" s="12"/>
    </row>
    <row r="35" spans="1:16" ht="15">
      <c r="A35" s="45" t="s">
        <v>128</v>
      </c>
      <c r="B35" s="46"/>
      <c r="C35" s="46"/>
      <c r="D35" s="46"/>
      <c r="E35" s="46"/>
      <c r="F35" s="46"/>
      <c r="G35" s="46"/>
      <c r="H35" s="47"/>
      <c r="I35" s="5"/>
      <c r="J35" s="6"/>
      <c r="K35" s="2"/>
      <c r="L35" s="2"/>
      <c r="M35" s="2"/>
      <c r="N35" s="2"/>
      <c r="O35" s="2"/>
      <c r="P35" s="6"/>
    </row>
    <row r="36" spans="1:16" ht="21" customHeight="1">
      <c r="A36" s="85" t="s">
        <v>129</v>
      </c>
      <c r="B36" s="86"/>
      <c r="C36" s="86"/>
      <c r="D36" s="86"/>
      <c r="E36" s="86"/>
      <c r="F36" s="86"/>
      <c r="G36" s="86"/>
      <c r="H36" s="87"/>
      <c r="I36" s="2"/>
      <c r="J36" s="6"/>
      <c r="K36" s="2"/>
      <c r="L36" s="6">
        <f>P36/4</f>
        <v>4314.75</v>
      </c>
      <c r="M36" s="8">
        <f>P36/4</f>
        <v>4314.75</v>
      </c>
      <c r="N36" s="8">
        <f>P36/4</f>
        <v>4314.75</v>
      </c>
      <c r="O36" s="8">
        <f>P36/4</f>
        <v>4314.75</v>
      </c>
      <c r="P36" s="8">
        <v>17259</v>
      </c>
    </row>
    <row r="37" spans="1:16" ht="15" customHeight="1">
      <c r="A37" s="85" t="s">
        <v>130</v>
      </c>
      <c r="B37" s="86"/>
      <c r="C37" s="86"/>
      <c r="D37" s="86"/>
      <c r="E37" s="86"/>
      <c r="F37" s="86"/>
      <c r="G37" s="86"/>
      <c r="H37" s="87"/>
      <c r="I37" s="6" t="s">
        <v>27</v>
      </c>
      <c r="J37" s="6">
        <v>3.94</v>
      </c>
      <c r="K37" s="6">
        <v>160</v>
      </c>
      <c r="L37" s="8">
        <f>J37*K37*3</f>
        <v>1891.1999999999998</v>
      </c>
      <c r="M37" s="8">
        <f>L37</f>
        <v>1891.1999999999998</v>
      </c>
      <c r="N37" s="8">
        <f>M37</f>
        <v>1891.1999999999998</v>
      </c>
      <c r="O37" s="8">
        <f>N37</f>
        <v>1891.1999999999998</v>
      </c>
      <c r="P37" s="8">
        <f>J37*K37*12</f>
        <v>7564.799999999999</v>
      </c>
    </row>
    <row r="38" spans="1:17" ht="15">
      <c r="A38" s="45" t="s">
        <v>28</v>
      </c>
      <c r="B38" s="46"/>
      <c r="C38" s="46"/>
      <c r="D38" s="46"/>
      <c r="E38" s="46"/>
      <c r="F38" s="46"/>
      <c r="G38" s="46"/>
      <c r="H38" s="47"/>
      <c r="I38" s="2"/>
      <c r="J38" s="6"/>
      <c r="K38" s="2"/>
      <c r="L38" s="14">
        <f>SUM(L23:L37)</f>
        <v>74675.06999999999</v>
      </c>
      <c r="M38" s="14">
        <f>SUM(M23:M37)</f>
        <v>74675.06999999999</v>
      </c>
      <c r="N38" s="14">
        <f>SUM(N23:N37)</f>
        <v>74675.06999999999</v>
      </c>
      <c r="O38" s="14">
        <f>SUM(O23:O37)</f>
        <v>74675.06999999999</v>
      </c>
      <c r="P38" s="14">
        <f>SUM(P23:P37)</f>
        <v>298700.27999999997</v>
      </c>
      <c r="Q38" s="15"/>
    </row>
    <row r="39" spans="1:16" ht="15" customHeight="1">
      <c r="A39" s="85" t="s">
        <v>123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13"/>
      <c r="M39" s="13"/>
      <c r="N39" s="13"/>
      <c r="O39" s="13"/>
      <c r="P39" s="8">
        <f>I15</f>
        <v>40731.863040000004</v>
      </c>
    </row>
    <row r="40" spans="1:16" ht="15" customHeight="1">
      <c r="A40" s="88" t="s">
        <v>29</v>
      </c>
      <c r="B40" s="89"/>
      <c r="C40" s="89"/>
      <c r="D40" s="89"/>
      <c r="E40" s="89"/>
      <c r="F40" s="89"/>
      <c r="G40" s="89"/>
      <c r="H40" s="90"/>
      <c r="I40" s="2"/>
      <c r="J40" s="6"/>
      <c r="K40" s="2"/>
      <c r="L40" s="13"/>
      <c r="M40" s="13"/>
      <c r="N40" s="13"/>
      <c r="O40" s="13"/>
      <c r="P40" s="14">
        <f>P38+P39</f>
        <v>339432.14304</v>
      </c>
    </row>
    <row r="41" spans="1:19" ht="15">
      <c r="A41" s="48" t="s">
        <v>30</v>
      </c>
      <c r="B41" s="49"/>
      <c r="C41" s="49"/>
      <c r="D41" s="49"/>
      <c r="E41" s="49"/>
      <c r="F41" s="49"/>
      <c r="G41" s="49"/>
      <c r="H41" s="84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</sheetData>
  <mergeCells count="43">
    <mergeCell ref="A38:H38"/>
    <mergeCell ref="A39:H39"/>
    <mergeCell ref="A40:H40"/>
    <mergeCell ref="A41:H41"/>
    <mergeCell ref="A32:H32"/>
    <mergeCell ref="A35:H35"/>
    <mergeCell ref="A36:H36"/>
    <mergeCell ref="A37:H37"/>
    <mergeCell ref="A33:H33"/>
    <mergeCell ref="A34:H34"/>
    <mergeCell ref="A28:H28"/>
    <mergeCell ref="A29:H29"/>
    <mergeCell ref="A30:G30"/>
    <mergeCell ref="A31:H31"/>
    <mergeCell ref="A24:H24"/>
    <mergeCell ref="A25:H25"/>
    <mergeCell ref="A26:H26"/>
    <mergeCell ref="A27:H27"/>
    <mergeCell ref="L20:O20"/>
    <mergeCell ref="P20:P21"/>
    <mergeCell ref="A22:H22"/>
    <mergeCell ref="A23:H23"/>
    <mergeCell ref="A20:H21"/>
    <mergeCell ref="I20:I21"/>
    <mergeCell ref="J20:J21"/>
    <mergeCell ref="K20:K21"/>
    <mergeCell ref="A16:H16"/>
    <mergeCell ref="A18:H18"/>
    <mergeCell ref="A19:I19"/>
    <mergeCell ref="A17:H17"/>
    <mergeCell ref="A11:H11"/>
    <mergeCell ref="A12:H12"/>
    <mergeCell ref="A14:G14"/>
    <mergeCell ref="A15:G15"/>
    <mergeCell ref="A13:G13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34">
      <selection activeCell="L38" sqref="L38:O38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4.7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(7.25*K28*12)+(26.9*3.08*12)</f>
        <v>257713.82400000002</v>
      </c>
    </row>
    <row r="12" spans="1:9" ht="17.25" customHeight="1">
      <c r="A12" s="62" t="s">
        <v>106</v>
      </c>
      <c r="B12" s="62"/>
      <c r="C12" s="62"/>
      <c r="D12" s="62"/>
      <c r="E12" s="62"/>
      <c r="F12" s="62"/>
      <c r="G12" s="62"/>
      <c r="H12" s="62"/>
      <c r="I12" s="8">
        <f>K28*I18*12</f>
        <v>77547.024</v>
      </c>
    </row>
    <row r="13" spans="1:9" ht="12" customHeight="1">
      <c r="A13" s="125" t="s">
        <v>43</v>
      </c>
      <c r="B13" s="126"/>
      <c r="C13" s="126"/>
      <c r="D13" s="126"/>
      <c r="E13" s="126"/>
      <c r="F13" s="126"/>
      <c r="G13" s="126"/>
      <c r="H13" s="18"/>
      <c r="I13" s="16"/>
    </row>
    <row r="14" spans="1:9" ht="12" customHeight="1">
      <c r="A14" s="119" t="s">
        <v>44</v>
      </c>
      <c r="B14" s="120"/>
      <c r="C14" s="120"/>
      <c r="D14" s="120"/>
      <c r="E14" s="120"/>
      <c r="F14" s="120"/>
      <c r="G14" s="120"/>
      <c r="H14" s="18"/>
      <c r="I14" s="19">
        <f>SUM(I11:I12)*12%</f>
        <v>40231.301759999995</v>
      </c>
    </row>
    <row r="15" spans="1:9" ht="13.5" customHeight="1">
      <c r="A15" s="91" t="s">
        <v>46</v>
      </c>
      <c r="B15" s="92"/>
      <c r="C15" s="92"/>
      <c r="D15" s="92"/>
      <c r="E15" s="92"/>
      <c r="F15" s="92"/>
      <c r="G15" s="92"/>
      <c r="H15" s="18"/>
      <c r="I15" s="8">
        <f>I14</f>
        <v>40231.301759999995</v>
      </c>
    </row>
    <row r="16" spans="1:9" ht="12" customHeight="1">
      <c r="A16" s="88" t="s">
        <v>4</v>
      </c>
      <c r="B16" s="89"/>
      <c r="C16" s="89"/>
      <c r="D16" s="89"/>
      <c r="E16" s="89"/>
      <c r="F16" s="89"/>
      <c r="G16" s="89"/>
      <c r="H16" s="90"/>
      <c r="I16" s="14">
        <f>SUM(I11:I12)-I14</f>
        <v>295029.54624</v>
      </c>
    </row>
    <row r="17" spans="1:9" ht="21.75" customHeight="1">
      <c r="A17" s="85" t="s">
        <v>5</v>
      </c>
      <c r="B17" s="86"/>
      <c r="C17" s="86"/>
      <c r="D17" s="86"/>
      <c r="E17" s="86"/>
      <c r="F17" s="86"/>
      <c r="G17" s="86"/>
      <c r="H17" s="87"/>
      <c r="I17" s="6">
        <v>7.25</v>
      </c>
    </row>
    <row r="18" spans="1:9" ht="13.5" customHeight="1">
      <c r="A18" s="86" t="s">
        <v>103</v>
      </c>
      <c r="B18" s="86"/>
      <c r="C18" s="86"/>
      <c r="D18" s="86"/>
      <c r="E18" s="86"/>
      <c r="F18" s="86"/>
      <c r="G18" s="86"/>
      <c r="H18" s="87"/>
      <c r="I18" s="6">
        <v>2.19</v>
      </c>
    </row>
    <row r="19" spans="1:9" ht="27.75" customHeight="1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16" ht="15" customHeight="1">
      <c r="A20" s="101" t="s">
        <v>7</v>
      </c>
      <c r="B20" s="101"/>
      <c r="C20" s="101"/>
      <c r="D20" s="101"/>
      <c r="E20" s="101"/>
      <c r="F20" s="101"/>
      <c r="G20" s="101"/>
      <c r="H20" s="101"/>
      <c r="I20" s="102" t="s">
        <v>8</v>
      </c>
      <c r="J20" s="102" t="s">
        <v>9</v>
      </c>
      <c r="K20" s="102" t="s">
        <v>10</v>
      </c>
      <c r="L20" s="99" t="s">
        <v>11</v>
      </c>
      <c r="M20" s="99"/>
      <c r="N20" s="99"/>
      <c r="O20" s="100"/>
      <c r="P20" s="101" t="s">
        <v>16</v>
      </c>
    </row>
    <row r="21" spans="1:16" ht="18.75" customHeight="1">
      <c r="A21" s="101"/>
      <c r="B21" s="101"/>
      <c r="C21" s="101"/>
      <c r="D21" s="101"/>
      <c r="E21" s="101"/>
      <c r="F21" s="101"/>
      <c r="G21" s="101"/>
      <c r="H21" s="101"/>
      <c r="I21" s="103"/>
      <c r="J21" s="103"/>
      <c r="K21" s="103"/>
      <c r="L21" s="6" t="s">
        <v>12</v>
      </c>
      <c r="M21" s="6" t="s">
        <v>13</v>
      </c>
      <c r="N21" s="6" t="s">
        <v>14</v>
      </c>
      <c r="O21" s="6" t="s">
        <v>15</v>
      </c>
      <c r="P21" s="101"/>
    </row>
    <row r="22" spans="1:16" ht="15">
      <c r="A22" s="45" t="s">
        <v>17</v>
      </c>
      <c r="B22" s="46"/>
      <c r="C22" s="46"/>
      <c r="D22" s="46"/>
      <c r="E22" s="46"/>
      <c r="F22" s="46"/>
      <c r="G22" s="46"/>
      <c r="H22" s="47"/>
      <c r="I22" s="5"/>
      <c r="J22" s="2"/>
      <c r="K22" s="2"/>
      <c r="L22" s="6"/>
      <c r="M22" s="6"/>
      <c r="N22" s="6"/>
      <c r="O22" s="6"/>
      <c r="P22" s="2"/>
    </row>
    <row r="23" spans="1:16" ht="15">
      <c r="A23" s="48" t="s">
        <v>18</v>
      </c>
      <c r="B23" s="49"/>
      <c r="C23" s="49"/>
      <c r="D23" s="49"/>
      <c r="E23" s="49"/>
      <c r="F23" s="49"/>
      <c r="G23" s="49"/>
      <c r="H23" s="84"/>
      <c r="I23" s="5"/>
      <c r="J23" s="2"/>
      <c r="K23" s="2"/>
      <c r="L23" s="6">
        <f aca="true" t="shared" si="0" ref="L23:L29">P23/4</f>
        <v>3500</v>
      </c>
      <c r="M23" s="6">
        <f aca="true" t="shared" si="1" ref="M23:M29">P23/4</f>
        <v>3500</v>
      </c>
      <c r="N23" s="6">
        <f aca="true" t="shared" si="2" ref="N23:N29">P23/4</f>
        <v>3500</v>
      </c>
      <c r="O23" s="6">
        <f aca="true" t="shared" si="3" ref="O23:O29">P23/4</f>
        <v>3500</v>
      </c>
      <c r="P23" s="8">
        <v>14000</v>
      </c>
    </row>
    <row r="24" spans="1:18" ht="22.5">
      <c r="A24" s="48" t="s">
        <v>19</v>
      </c>
      <c r="B24" s="49"/>
      <c r="C24" s="49"/>
      <c r="D24" s="49"/>
      <c r="E24" s="49"/>
      <c r="F24" s="49"/>
      <c r="G24" s="49"/>
      <c r="H24" s="84"/>
      <c r="I24" s="4" t="s">
        <v>23</v>
      </c>
      <c r="J24" s="6">
        <v>0.6</v>
      </c>
      <c r="K24" s="6">
        <f>2950.7+27</f>
        <v>2977.7</v>
      </c>
      <c r="L24" s="8">
        <f t="shared" si="0"/>
        <v>5359.86</v>
      </c>
      <c r="M24" s="8">
        <f t="shared" si="1"/>
        <v>5359.86</v>
      </c>
      <c r="N24" s="8">
        <f t="shared" si="2"/>
        <v>5359.86</v>
      </c>
      <c r="O24" s="8">
        <f t="shared" si="3"/>
        <v>5359.86</v>
      </c>
      <c r="P24" s="8">
        <f>J24*K24*12</f>
        <v>21439.44</v>
      </c>
      <c r="R24" s="12"/>
    </row>
    <row r="25" spans="1:16" ht="22.5">
      <c r="A25" s="48" t="s">
        <v>20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1.13</v>
      </c>
      <c r="K25" s="6">
        <f>2950.7+27</f>
        <v>2977.7</v>
      </c>
      <c r="L25" s="8">
        <f t="shared" si="0"/>
        <v>10094.402999999998</v>
      </c>
      <c r="M25" s="8">
        <f t="shared" si="1"/>
        <v>10094.402999999998</v>
      </c>
      <c r="N25" s="8">
        <f t="shared" si="2"/>
        <v>10094.402999999998</v>
      </c>
      <c r="O25" s="8">
        <f t="shared" si="3"/>
        <v>10094.402999999998</v>
      </c>
      <c r="P25" s="8">
        <f>K25*J25*12</f>
        <v>40377.611999999994</v>
      </c>
    </row>
    <row r="26" spans="1:16" ht="22.5">
      <c r="A26" s="48" t="s">
        <v>21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0.47</v>
      </c>
      <c r="K26" s="6">
        <f>2950.7+27</f>
        <v>2977.7</v>
      </c>
      <c r="L26" s="8">
        <f t="shared" si="0"/>
        <v>4198.556999999999</v>
      </c>
      <c r="M26" s="8">
        <f t="shared" si="1"/>
        <v>4198.556999999999</v>
      </c>
      <c r="N26" s="8">
        <f t="shared" si="2"/>
        <v>4198.556999999999</v>
      </c>
      <c r="O26" s="8">
        <f t="shared" si="3"/>
        <v>4198.556999999999</v>
      </c>
      <c r="P26" s="8">
        <f>K26*J26*12</f>
        <v>16794.227999999996</v>
      </c>
    </row>
    <row r="27" spans="1:16" ht="21.75" customHeight="1">
      <c r="A27" s="85" t="s">
        <v>39</v>
      </c>
      <c r="B27" s="86"/>
      <c r="C27" s="86"/>
      <c r="D27" s="86"/>
      <c r="E27" s="86"/>
      <c r="F27" s="86"/>
      <c r="G27" s="86"/>
      <c r="H27" s="87"/>
      <c r="I27" s="4" t="s">
        <v>23</v>
      </c>
      <c r="J27" s="6"/>
      <c r="K27" s="6"/>
      <c r="L27" s="6">
        <f t="shared" si="0"/>
        <v>4750</v>
      </c>
      <c r="M27" s="6">
        <f t="shared" si="1"/>
        <v>4750</v>
      </c>
      <c r="N27" s="6">
        <f t="shared" si="2"/>
        <v>4750</v>
      </c>
      <c r="O27" s="6">
        <f t="shared" si="3"/>
        <v>4750</v>
      </c>
      <c r="P27" s="6">
        <v>19000</v>
      </c>
    </row>
    <row r="28" spans="1:16" ht="22.5">
      <c r="A28" s="48" t="s">
        <v>40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1.2</v>
      </c>
      <c r="K28" s="6">
        <v>2950.8</v>
      </c>
      <c r="L28" s="8">
        <f t="shared" si="0"/>
        <v>10622.880000000001</v>
      </c>
      <c r="M28" s="8">
        <f t="shared" si="1"/>
        <v>10622.880000000001</v>
      </c>
      <c r="N28" s="8">
        <f t="shared" si="2"/>
        <v>10622.880000000001</v>
      </c>
      <c r="O28" s="8">
        <f t="shared" si="3"/>
        <v>10622.880000000001</v>
      </c>
      <c r="P28" s="8">
        <f>J28*K28*12</f>
        <v>42491.520000000004</v>
      </c>
    </row>
    <row r="29" spans="1:16" ht="22.5" customHeight="1">
      <c r="A29" s="48" t="s">
        <v>41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0.8</v>
      </c>
      <c r="K29" s="6">
        <v>2950.8</v>
      </c>
      <c r="L29" s="8">
        <f t="shared" si="0"/>
        <v>7081.920000000001</v>
      </c>
      <c r="M29" s="8">
        <f t="shared" si="1"/>
        <v>7081.920000000001</v>
      </c>
      <c r="N29" s="8">
        <f t="shared" si="2"/>
        <v>7081.920000000001</v>
      </c>
      <c r="O29" s="8">
        <f t="shared" si="3"/>
        <v>7081.920000000001</v>
      </c>
      <c r="P29" s="8">
        <f>K29*0.8*12</f>
        <v>28327.680000000004</v>
      </c>
    </row>
    <row r="30" spans="1:16" ht="22.5" customHeight="1">
      <c r="A30" s="48" t="s">
        <v>47</v>
      </c>
      <c r="B30" s="49"/>
      <c r="C30" s="49"/>
      <c r="D30" s="49"/>
      <c r="E30" s="49"/>
      <c r="F30" s="49"/>
      <c r="G30" s="49"/>
      <c r="H30" s="17"/>
      <c r="I30" s="4" t="s">
        <v>24</v>
      </c>
      <c r="J30" s="6"/>
      <c r="K30" s="6"/>
      <c r="L30" s="6"/>
      <c r="M30" s="6"/>
      <c r="N30" s="6"/>
      <c r="O30" s="6"/>
      <c r="P30" s="8"/>
    </row>
    <row r="31" spans="1:16" ht="24" customHeight="1">
      <c r="A31" s="85" t="s">
        <v>48</v>
      </c>
      <c r="B31" s="86"/>
      <c r="C31" s="86"/>
      <c r="D31" s="86"/>
      <c r="E31" s="86"/>
      <c r="F31" s="86"/>
      <c r="G31" s="86"/>
      <c r="H31" s="87"/>
      <c r="I31" s="5"/>
      <c r="J31" s="6"/>
      <c r="K31" s="2"/>
      <c r="L31" s="8">
        <f>P31/4</f>
        <v>5194.75</v>
      </c>
      <c r="M31" s="8">
        <f>P31/4</f>
        <v>5194.75</v>
      </c>
      <c r="N31" s="8">
        <f>P31/4</f>
        <v>5194.75</v>
      </c>
      <c r="O31" s="8">
        <f>P31/4</f>
        <v>5194.75</v>
      </c>
      <c r="P31" s="8">
        <v>20779</v>
      </c>
    </row>
    <row r="32" spans="1:18" ht="15">
      <c r="A32" s="48" t="s">
        <v>49</v>
      </c>
      <c r="B32" s="49"/>
      <c r="C32" s="49"/>
      <c r="D32" s="49"/>
      <c r="E32" s="49"/>
      <c r="F32" s="49"/>
      <c r="G32" s="49"/>
      <c r="H32" s="84"/>
      <c r="I32" s="6" t="s">
        <v>25</v>
      </c>
      <c r="J32" s="6">
        <v>1</v>
      </c>
      <c r="K32" s="6"/>
      <c r="L32" s="6"/>
      <c r="M32" s="8">
        <f>P32/2</f>
        <v>0</v>
      </c>
      <c r="N32" s="6"/>
      <c r="O32" s="8"/>
      <c r="P32" s="8">
        <f>K32*J32</f>
        <v>0</v>
      </c>
      <c r="R32" s="12"/>
    </row>
    <row r="33" spans="1:18" ht="15">
      <c r="A33" s="45" t="s">
        <v>126</v>
      </c>
      <c r="B33" s="46"/>
      <c r="C33" s="46"/>
      <c r="D33" s="46"/>
      <c r="E33" s="46"/>
      <c r="F33" s="46"/>
      <c r="G33" s="46"/>
      <c r="H33" s="47"/>
      <c r="I33" s="4"/>
      <c r="J33" s="6"/>
      <c r="K33" s="6"/>
      <c r="L33" s="6"/>
      <c r="M33" s="8"/>
      <c r="N33" s="6"/>
      <c r="O33" s="8"/>
      <c r="P33" s="8"/>
      <c r="R33" s="12"/>
    </row>
    <row r="34" spans="1:18" ht="22.5">
      <c r="A34" s="48" t="s">
        <v>127</v>
      </c>
      <c r="B34" s="49"/>
      <c r="C34" s="49"/>
      <c r="D34" s="49"/>
      <c r="E34" s="49"/>
      <c r="F34" s="49"/>
      <c r="G34" s="49"/>
      <c r="H34" s="84"/>
      <c r="I34" s="4" t="s">
        <v>23</v>
      </c>
      <c r="J34" s="6">
        <v>1.9</v>
      </c>
      <c r="K34" s="6">
        <v>2950.8</v>
      </c>
      <c r="L34" s="6">
        <f>P34/4</f>
        <v>16819.56</v>
      </c>
      <c r="M34" s="8">
        <f>P34/4</f>
        <v>16819.56</v>
      </c>
      <c r="N34" s="8">
        <f>P34/4</f>
        <v>16819.56</v>
      </c>
      <c r="O34" s="8">
        <f>P34/4</f>
        <v>16819.56</v>
      </c>
      <c r="P34" s="8">
        <f>K34*J34*12</f>
        <v>67278.24</v>
      </c>
      <c r="R34" s="12"/>
    </row>
    <row r="35" spans="1:16" ht="15">
      <c r="A35" s="45" t="s">
        <v>128</v>
      </c>
      <c r="B35" s="46"/>
      <c r="C35" s="46"/>
      <c r="D35" s="46"/>
      <c r="E35" s="46"/>
      <c r="F35" s="46"/>
      <c r="G35" s="46"/>
      <c r="H35" s="47"/>
      <c r="I35" s="5"/>
      <c r="J35" s="6"/>
      <c r="K35" s="2"/>
      <c r="L35" s="2"/>
      <c r="M35" s="2"/>
      <c r="N35" s="2"/>
      <c r="O35" s="2"/>
      <c r="P35" s="6"/>
    </row>
    <row r="36" spans="1:16" ht="21" customHeight="1">
      <c r="A36" s="85" t="s">
        <v>129</v>
      </c>
      <c r="B36" s="86"/>
      <c r="C36" s="86"/>
      <c r="D36" s="86"/>
      <c r="E36" s="86"/>
      <c r="F36" s="86"/>
      <c r="G36" s="86"/>
      <c r="H36" s="87"/>
      <c r="I36" s="2"/>
      <c r="J36" s="6"/>
      <c r="K36" s="2"/>
      <c r="L36" s="8">
        <f>P36/4</f>
        <v>4244.25</v>
      </c>
      <c r="M36" s="8">
        <f>P36/4</f>
        <v>4244.25</v>
      </c>
      <c r="N36" s="8">
        <f>P36/4</f>
        <v>4244.25</v>
      </c>
      <c r="O36" s="8">
        <f>P36/4</f>
        <v>4244.25</v>
      </c>
      <c r="P36" s="8">
        <v>16977</v>
      </c>
    </row>
    <row r="37" spans="1:16" ht="15" customHeight="1">
      <c r="A37" s="85" t="s">
        <v>130</v>
      </c>
      <c r="B37" s="86"/>
      <c r="C37" s="86"/>
      <c r="D37" s="86"/>
      <c r="E37" s="86"/>
      <c r="F37" s="86"/>
      <c r="G37" s="86"/>
      <c r="H37" s="87"/>
      <c r="I37" s="6" t="s">
        <v>27</v>
      </c>
      <c r="J37" s="6">
        <v>3.94</v>
      </c>
      <c r="K37" s="6">
        <v>160</v>
      </c>
      <c r="L37" s="8">
        <f>J37*K37*3</f>
        <v>1891.1999999999998</v>
      </c>
      <c r="M37" s="8">
        <f>L37</f>
        <v>1891.1999999999998</v>
      </c>
      <c r="N37" s="8">
        <f>M37</f>
        <v>1891.1999999999998</v>
      </c>
      <c r="O37" s="8">
        <f>N37</f>
        <v>1891.1999999999998</v>
      </c>
      <c r="P37" s="8">
        <f>J37*K37*12</f>
        <v>7564.799999999999</v>
      </c>
    </row>
    <row r="38" spans="1:17" ht="15">
      <c r="A38" s="45" t="s">
        <v>28</v>
      </c>
      <c r="B38" s="46"/>
      <c r="C38" s="46"/>
      <c r="D38" s="46"/>
      <c r="E38" s="46"/>
      <c r="F38" s="46"/>
      <c r="G38" s="46"/>
      <c r="H38" s="47"/>
      <c r="I38" s="2"/>
      <c r="J38" s="6"/>
      <c r="K38" s="2"/>
      <c r="L38" s="14">
        <f>SUM(L23:L37)</f>
        <v>73757.37999999999</v>
      </c>
      <c r="M38" s="14">
        <f>SUM(M23:M37)</f>
        <v>73757.37999999999</v>
      </c>
      <c r="N38" s="14">
        <f>SUM(N23:N37)</f>
        <v>73757.37999999999</v>
      </c>
      <c r="O38" s="14">
        <f>SUM(O23:O37)</f>
        <v>73757.37999999999</v>
      </c>
      <c r="P38" s="14">
        <f>SUM(P23:P37)</f>
        <v>295029.51999999996</v>
      </c>
      <c r="Q38" s="15"/>
    </row>
    <row r="39" spans="1:16" ht="15" customHeight="1">
      <c r="A39" s="85" t="s">
        <v>123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13"/>
      <c r="M39" s="13"/>
      <c r="N39" s="13"/>
      <c r="O39" s="13"/>
      <c r="P39" s="8">
        <f>I15</f>
        <v>40231.301759999995</v>
      </c>
    </row>
    <row r="40" spans="1:16" ht="15" customHeight="1">
      <c r="A40" s="88" t="s">
        <v>29</v>
      </c>
      <c r="B40" s="89"/>
      <c r="C40" s="89"/>
      <c r="D40" s="89"/>
      <c r="E40" s="89"/>
      <c r="F40" s="89"/>
      <c r="G40" s="89"/>
      <c r="H40" s="90"/>
      <c r="I40" s="2"/>
      <c r="J40" s="6"/>
      <c r="K40" s="2"/>
      <c r="L40" s="13"/>
      <c r="M40" s="13"/>
      <c r="N40" s="13"/>
      <c r="O40" s="13"/>
      <c r="P40" s="14">
        <f>P38+P39</f>
        <v>335260.82175999996</v>
      </c>
    </row>
    <row r="41" spans="1:19" ht="15">
      <c r="A41" s="48" t="s">
        <v>30</v>
      </c>
      <c r="B41" s="49"/>
      <c r="C41" s="49"/>
      <c r="D41" s="49"/>
      <c r="E41" s="49"/>
      <c r="F41" s="49"/>
      <c r="G41" s="49"/>
      <c r="H41" s="84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</sheetData>
  <mergeCells count="43">
    <mergeCell ref="A38:H38"/>
    <mergeCell ref="A39:H39"/>
    <mergeCell ref="A40:H40"/>
    <mergeCell ref="A41:H41"/>
    <mergeCell ref="A32:H32"/>
    <mergeCell ref="A35:H35"/>
    <mergeCell ref="A36:H36"/>
    <mergeCell ref="A37:H37"/>
    <mergeCell ref="A33:H33"/>
    <mergeCell ref="A34:H34"/>
    <mergeCell ref="A28:H28"/>
    <mergeCell ref="A29:H29"/>
    <mergeCell ref="A30:G30"/>
    <mergeCell ref="A31:H31"/>
    <mergeCell ref="A24:H24"/>
    <mergeCell ref="A25:H25"/>
    <mergeCell ref="A26:H26"/>
    <mergeCell ref="A27:H27"/>
    <mergeCell ref="P20:P21"/>
    <mergeCell ref="A22:H22"/>
    <mergeCell ref="A23:H23"/>
    <mergeCell ref="A20:H21"/>
    <mergeCell ref="I20:I21"/>
    <mergeCell ref="J20:J21"/>
    <mergeCell ref="K20:K21"/>
    <mergeCell ref="A18:H18"/>
    <mergeCell ref="A19:I19"/>
    <mergeCell ref="L20:O20"/>
    <mergeCell ref="A15:G15"/>
    <mergeCell ref="A14:G14"/>
    <mergeCell ref="A16:H16"/>
    <mergeCell ref="A17:H17"/>
    <mergeCell ref="A11:H11"/>
    <mergeCell ref="A12:H12"/>
    <mergeCell ref="A13:G13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L38" sqref="L38:O38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K24*I17*12</f>
        <v>5247.24</v>
      </c>
    </row>
    <row r="12" spans="1:9" ht="16.5" customHeight="1">
      <c r="A12" s="62" t="s">
        <v>106</v>
      </c>
      <c r="B12" s="62"/>
      <c r="C12" s="62"/>
      <c r="D12" s="62"/>
      <c r="E12" s="62"/>
      <c r="F12" s="62"/>
      <c r="G12" s="62"/>
      <c r="H12" s="62"/>
      <c r="I12" s="8">
        <f>K28*I18*12</f>
        <v>1574.1719999999998</v>
      </c>
    </row>
    <row r="13" spans="1:9" ht="12" customHeight="1">
      <c r="A13" s="125" t="s">
        <v>43</v>
      </c>
      <c r="B13" s="126"/>
      <c r="C13" s="126"/>
      <c r="D13" s="126"/>
      <c r="E13" s="126"/>
      <c r="F13" s="126"/>
      <c r="G13" s="126"/>
      <c r="H13" s="127"/>
      <c r="I13" s="16"/>
    </row>
    <row r="14" spans="1:9" ht="11.25" customHeight="1">
      <c r="A14" s="119" t="s">
        <v>44</v>
      </c>
      <c r="B14" s="120"/>
      <c r="C14" s="120"/>
      <c r="D14" s="120"/>
      <c r="E14" s="120"/>
      <c r="F14" s="120"/>
      <c r="G14" s="120"/>
      <c r="H14" s="121"/>
      <c r="I14" s="19">
        <f>SUM(I11:I12)*12%</f>
        <v>818.5694399999999</v>
      </c>
    </row>
    <row r="15" spans="1:9" ht="12" customHeight="1">
      <c r="A15" s="91" t="s">
        <v>46</v>
      </c>
      <c r="B15" s="92"/>
      <c r="C15" s="92"/>
      <c r="D15" s="92"/>
      <c r="E15" s="92"/>
      <c r="F15" s="92"/>
      <c r="G15" s="92"/>
      <c r="H15" s="93"/>
      <c r="I15" s="8">
        <f>I14</f>
        <v>818.5694399999999</v>
      </c>
    </row>
    <row r="16" spans="1:9" ht="12" customHeight="1">
      <c r="A16" s="88" t="s">
        <v>4</v>
      </c>
      <c r="B16" s="89"/>
      <c r="C16" s="89"/>
      <c r="D16" s="89"/>
      <c r="E16" s="89"/>
      <c r="F16" s="89"/>
      <c r="G16" s="89"/>
      <c r="H16" s="90"/>
      <c r="I16" s="14">
        <f>SUM(I11:I12)-I14</f>
        <v>6002.842559999999</v>
      </c>
    </row>
    <row r="17" spans="1:9" ht="24" customHeight="1">
      <c r="A17" s="85" t="s">
        <v>5</v>
      </c>
      <c r="B17" s="86"/>
      <c r="C17" s="86"/>
      <c r="D17" s="86"/>
      <c r="E17" s="86"/>
      <c r="F17" s="86"/>
      <c r="G17" s="86"/>
      <c r="H17" s="87"/>
      <c r="I17" s="6">
        <v>7.3</v>
      </c>
    </row>
    <row r="18" spans="1:9" ht="16.5" customHeight="1">
      <c r="A18" s="86" t="s">
        <v>103</v>
      </c>
      <c r="B18" s="86"/>
      <c r="C18" s="86"/>
      <c r="D18" s="86"/>
      <c r="E18" s="86"/>
      <c r="F18" s="86"/>
      <c r="G18" s="86"/>
      <c r="H18" s="87"/>
      <c r="I18" s="6">
        <v>2.19</v>
      </c>
    </row>
    <row r="19" spans="1:9" ht="15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16" ht="15" customHeight="1">
      <c r="A20" s="101" t="s">
        <v>7</v>
      </c>
      <c r="B20" s="101"/>
      <c r="C20" s="101"/>
      <c r="D20" s="101"/>
      <c r="E20" s="101"/>
      <c r="F20" s="101"/>
      <c r="G20" s="101"/>
      <c r="H20" s="101"/>
      <c r="I20" s="102" t="s">
        <v>8</v>
      </c>
      <c r="J20" s="102" t="s">
        <v>9</v>
      </c>
      <c r="K20" s="102" t="s">
        <v>10</v>
      </c>
      <c r="L20" s="99" t="s">
        <v>11</v>
      </c>
      <c r="M20" s="99"/>
      <c r="N20" s="99"/>
      <c r="O20" s="100"/>
      <c r="P20" s="101" t="s">
        <v>16</v>
      </c>
    </row>
    <row r="21" spans="1:16" ht="18.75" customHeight="1">
      <c r="A21" s="101"/>
      <c r="B21" s="101"/>
      <c r="C21" s="101"/>
      <c r="D21" s="101"/>
      <c r="E21" s="101"/>
      <c r="F21" s="101"/>
      <c r="G21" s="101"/>
      <c r="H21" s="101"/>
      <c r="I21" s="103"/>
      <c r="J21" s="103"/>
      <c r="K21" s="103"/>
      <c r="L21" s="6" t="s">
        <v>12</v>
      </c>
      <c r="M21" s="6" t="s">
        <v>13</v>
      </c>
      <c r="N21" s="6" t="s">
        <v>14</v>
      </c>
      <c r="O21" s="6" t="s">
        <v>15</v>
      </c>
      <c r="P21" s="101"/>
    </row>
    <row r="22" spans="1:16" ht="15">
      <c r="A22" s="45" t="s">
        <v>17</v>
      </c>
      <c r="B22" s="46"/>
      <c r="C22" s="46"/>
      <c r="D22" s="46"/>
      <c r="E22" s="46"/>
      <c r="F22" s="46"/>
      <c r="G22" s="46"/>
      <c r="H22" s="47"/>
      <c r="I22" s="5"/>
      <c r="J22" s="2"/>
      <c r="K22" s="2"/>
      <c r="L22" s="6"/>
      <c r="M22" s="6"/>
      <c r="N22" s="6"/>
      <c r="O22" s="6"/>
      <c r="P22" s="2"/>
    </row>
    <row r="23" spans="1:16" ht="15">
      <c r="A23" s="48" t="s">
        <v>18</v>
      </c>
      <c r="B23" s="49"/>
      <c r="C23" s="49"/>
      <c r="D23" s="49"/>
      <c r="E23" s="49"/>
      <c r="F23" s="49"/>
      <c r="G23" s="49"/>
      <c r="H23" s="84"/>
      <c r="I23" s="5"/>
      <c r="J23" s="2"/>
      <c r="K23" s="2"/>
      <c r="L23" s="6">
        <f aca="true" t="shared" si="0" ref="L23:L28">P23/4</f>
        <v>175</v>
      </c>
      <c r="M23" s="6">
        <f aca="true" t="shared" si="1" ref="M23:M28">P23/4</f>
        <v>175</v>
      </c>
      <c r="N23" s="6">
        <f aca="true" t="shared" si="2" ref="N23:N28">P23/4</f>
        <v>175</v>
      </c>
      <c r="O23" s="6">
        <f aca="true" t="shared" si="3" ref="O23:O28">P23/4</f>
        <v>175</v>
      </c>
      <c r="P23" s="8">
        <v>700</v>
      </c>
    </row>
    <row r="24" spans="1:18" ht="22.5">
      <c r="A24" s="48" t="s">
        <v>19</v>
      </c>
      <c r="B24" s="49"/>
      <c r="C24" s="49"/>
      <c r="D24" s="49"/>
      <c r="E24" s="49"/>
      <c r="F24" s="49"/>
      <c r="G24" s="49"/>
      <c r="H24" s="84"/>
      <c r="I24" s="4" t="s">
        <v>23</v>
      </c>
      <c r="J24" s="6">
        <v>0.6</v>
      </c>
      <c r="K24" s="6">
        <v>59.9</v>
      </c>
      <c r="L24" s="8">
        <f t="shared" si="0"/>
        <v>107.82</v>
      </c>
      <c r="M24" s="8">
        <f t="shared" si="1"/>
        <v>107.82</v>
      </c>
      <c r="N24" s="8">
        <f t="shared" si="2"/>
        <v>107.82</v>
      </c>
      <c r="O24" s="8">
        <f t="shared" si="3"/>
        <v>107.82</v>
      </c>
      <c r="P24" s="8">
        <f>J24*K24*12</f>
        <v>431.28</v>
      </c>
      <c r="R24" s="12"/>
    </row>
    <row r="25" spans="1:16" ht="22.5">
      <c r="A25" s="48" t="s">
        <v>20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1.13</v>
      </c>
      <c r="K25" s="6">
        <v>59.9</v>
      </c>
      <c r="L25" s="8">
        <f t="shared" si="0"/>
        <v>203.06099999999998</v>
      </c>
      <c r="M25" s="8">
        <f t="shared" si="1"/>
        <v>203.06099999999998</v>
      </c>
      <c r="N25" s="8">
        <f t="shared" si="2"/>
        <v>203.06099999999998</v>
      </c>
      <c r="O25" s="8">
        <f t="shared" si="3"/>
        <v>203.06099999999998</v>
      </c>
      <c r="P25" s="8">
        <f>K25*J25*12</f>
        <v>812.2439999999999</v>
      </c>
    </row>
    <row r="26" spans="1:16" ht="22.5">
      <c r="A26" s="48" t="s">
        <v>21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0.47</v>
      </c>
      <c r="K26" s="6">
        <v>59.9</v>
      </c>
      <c r="L26" s="8">
        <f t="shared" si="0"/>
        <v>84.459</v>
      </c>
      <c r="M26" s="8">
        <f t="shared" si="1"/>
        <v>84.459</v>
      </c>
      <c r="N26" s="8">
        <f t="shared" si="2"/>
        <v>84.459</v>
      </c>
      <c r="O26" s="8">
        <f t="shared" si="3"/>
        <v>84.459</v>
      </c>
      <c r="P26" s="8">
        <f>K26*J26*12</f>
        <v>337.836</v>
      </c>
    </row>
    <row r="27" spans="1:16" ht="21.75" customHeight="1">
      <c r="A27" s="85" t="s">
        <v>39</v>
      </c>
      <c r="B27" s="86"/>
      <c r="C27" s="86"/>
      <c r="D27" s="86"/>
      <c r="E27" s="86"/>
      <c r="F27" s="86"/>
      <c r="G27" s="86"/>
      <c r="H27" s="87"/>
      <c r="I27" s="4" t="s">
        <v>23</v>
      </c>
      <c r="J27" s="6"/>
      <c r="K27" s="6"/>
      <c r="L27" s="6">
        <f t="shared" si="0"/>
        <v>125</v>
      </c>
      <c r="M27" s="6">
        <f t="shared" si="1"/>
        <v>125</v>
      </c>
      <c r="N27" s="6">
        <f t="shared" si="2"/>
        <v>125</v>
      </c>
      <c r="O27" s="6">
        <f t="shared" si="3"/>
        <v>125</v>
      </c>
      <c r="P27" s="6">
        <v>500</v>
      </c>
    </row>
    <row r="28" spans="1:16" ht="23.25" customHeight="1">
      <c r="A28" s="48" t="s">
        <v>40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1.2</v>
      </c>
      <c r="K28" s="6">
        <v>59.9</v>
      </c>
      <c r="L28" s="8">
        <f t="shared" si="0"/>
        <v>250</v>
      </c>
      <c r="M28" s="8">
        <f t="shared" si="1"/>
        <v>250</v>
      </c>
      <c r="N28" s="8">
        <f t="shared" si="2"/>
        <v>250</v>
      </c>
      <c r="O28" s="8">
        <f t="shared" si="3"/>
        <v>250</v>
      </c>
      <c r="P28" s="8">
        <v>1000</v>
      </c>
    </row>
    <row r="29" spans="1:16" ht="22.5" customHeight="1">
      <c r="A29" s="48" t="s">
        <v>41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0.8</v>
      </c>
      <c r="K29" s="6"/>
      <c r="L29" s="20"/>
      <c r="M29" s="20"/>
      <c r="N29" s="20"/>
      <c r="O29" s="20"/>
      <c r="P29" s="8"/>
    </row>
    <row r="30" spans="1:16" ht="19.5" customHeight="1">
      <c r="A30" s="48" t="s">
        <v>47</v>
      </c>
      <c r="B30" s="49"/>
      <c r="C30" s="49"/>
      <c r="D30" s="49"/>
      <c r="E30" s="49"/>
      <c r="F30" s="49"/>
      <c r="G30" s="49"/>
      <c r="H30" s="17"/>
      <c r="I30" s="4" t="s">
        <v>24</v>
      </c>
      <c r="J30" s="6"/>
      <c r="K30" s="6"/>
      <c r="L30" s="6"/>
      <c r="M30" s="6"/>
      <c r="N30" s="6"/>
      <c r="O30" s="6"/>
      <c r="P30" s="8"/>
    </row>
    <row r="31" spans="1:16" ht="24" customHeight="1">
      <c r="A31" s="85" t="s">
        <v>48</v>
      </c>
      <c r="B31" s="86"/>
      <c r="C31" s="86"/>
      <c r="D31" s="86"/>
      <c r="E31" s="86"/>
      <c r="F31" s="86"/>
      <c r="G31" s="86"/>
      <c r="H31" s="87"/>
      <c r="I31" s="5"/>
      <c r="J31" s="6"/>
      <c r="K31" s="2"/>
      <c r="L31" s="8">
        <f>P31/4</f>
        <v>136.5</v>
      </c>
      <c r="M31" s="8">
        <f>P31/4</f>
        <v>136.5</v>
      </c>
      <c r="N31" s="8">
        <f>P31/4</f>
        <v>136.5</v>
      </c>
      <c r="O31" s="8">
        <f>P31/4</f>
        <v>136.5</v>
      </c>
      <c r="P31" s="8">
        <v>546</v>
      </c>
    </row>
    <row r="32" spans="1:18" ht="15">
      <c r="A32" s="48" t="s">
        <v>49</v>
      </c>
      <c r="B32" s="49"/>
      <c r="C32" s="49"/>
      <c r="D32" s="49"/>
      <c r="E32" s="49"/>
      <c r="F32" s="49"/>
      <c r="G32" s="49"/>
      <c r="H32" s="84"/>
      <c r="I32" s="6" t="s">
        <v>25</v>
      </c>
      <c r="J32" s="6">
        <v>1</v>
      </c>
      <c r="K32" s="6"/>
      <c r="L32" s="6"/>
      <c r="M32" s="8">
        <f>P32/2</f>
        <v>0</v>
      </c>
      <c r="N32" s="6"/>
      <c r="O32" s="8"/>
      <c r="P32" s="8">
        <f>K32*J32</f>
        <v>0</v>
      </c>
      <c r="R32" s="12"/>
    </row>
    <row r="33" spans="1:18" ht="15">
      <c r="A33" s="45" t="s">
        <v>126</v>
      </c>
      <c r="B33" s="46"/>
      <c r="C33" s="46"/>
      <c r="D33" s="46"/>
      <c r="E33" s="46"/>
      <c r="F33" s="46"/>
      <c r="G33" s="46"/>
      <c r="H33" s="47"/>
      <c r="I33" s="4"/>
      <c r="J33" s="6"/>
      <c r="K33" s="6"/>
      <c r="L33" s="8"/>
      <c r="M33" s="8"/>
      <c r="N33" s="8"/>
      <c r="O33" s="8"/>
      <c r="P33" s="8"/>
      <c r="R33" s="12"/>
    </row>
    <row r="34" spans="1:18" ht="22.5">
      <c r="A34" s="48" t="s">
        <v>127</v>
      </c>
      <c r="B34" s="49"/>
      <c r="C34" s="49"/>
      <c r="D34" s="49"/>
      <c r="E34" s="49"/>
      <c r="F34" s="49"/>
      <c r="G34" s="49"/>
      <c r="H34" s="84"/>
      <c r="I34" s="4" t="s">
        <v>23</v>
      </c>
      <c r="J34" s="6">
        <v>1.9</v>
      </c>
      <c r="K34" s="6">
        <v>59.9</v>
      </c>
      <c r="L34" s="8">
        <f>P34/4</f>
        <v>341.42999999999995</v>
      </c>
      <c r="M34" s="8">
        <f>P34/4</f>
        <v>341.42999999999995</v>
      </c>
      <c r="N34" s="8">
        <f>P34/4</f>
        <v>341.42999999999995</v>
      </c>
      <c r="O34" s="8">
        <f>P34/4</f>
        <v>341.42999999999995</v>
      </c>
      <c r="P34" s="8">
        <f>K34*J34*12</f>
        <v>1365.7199999999998</v>
      </c>
      <c r="R34" s="12"/>
    </row>
    <row r="35" spans="1:16" ht="15">
      <c r="A35" s="45" t="s">
        <v>128</v>
      </c>
      <c r="B35" s="46"/>
      <c r="C35" s="46"/>
      <c r="D35" s="46"/>
      <c r="E35" s="46"/>
      <c r="F35" s="46"/>
      <c r="G35" s="46"/>
      <c r="H35" s="47"/>
      <c r="I35" s="5"/>
      <c r="J35" s="6"/>
      <c r="K35" s="2"/>
      <c r="L35" s="2"/>
      <c r="M35" s="2"/>
      <c r="N35" s="2"/>
      <c r="O35" s="2"/>
      <c r="P35" s="6"/>
    </row>
    <row r="36" spans="1:16" ht="21" customHeight="1">
      <c r="A36" s="85" t="s">
        <v>129</v>
      </c>
      <c r="B36" s="86"/>
      <c r="C36" s="86"/>
      <c r="D36" s="86"/>
      <c r="E36" s="86"/>
      <c r="F36" s="86"/>
      <c r="G36" s="86"/>
      <c r="H36" s="87"/>
      <c r="I36" s="2"/>
      <c r="J36" s="6"/>
      <c r="K36" s="2"/>
      <c r="L36" s="8">
        <f>P36/4</f>
        <v>65.75</v>
      </c>
      <c r="M36" s="8">
        <f>P36/4</f>
        <v>65.75</v>
      </c>
      <c r="N36" s="8">
        <f>P36/4</f>
        <v>65.75</v>
      </c>
      <c r="O36" s="8">
        <f>P36/4</f>
        <v>65.75</v>
      </c>
      <c r="P36" s="6">
        <v>263</v>
      </c>
    </row>
    <row r="37" spans="1:16" ht="15" customHeight="1">
      <c r="A37" s="85" t="s">
        <v>130</v>
      </c>
      <c r="B37" s="86"/>
      <c r="C37" s="86"/>
      <c r="D37" s="86"/>
      <c r="E37" s="86"/>
      <c r="F37" s="86"/>
      <c r="G37" s="86"/>
      <c r="H37" s="87"/>
      <c r="I37" s="6" t="s">
        <v>27</v>
      </c>
      <c r="J37" s="6">
        <v>3.94</v>
      </c>
      <c r="K37" s="6">
        <v>1</v>
      </c>
      <c r="L37" s="8">
        <f>J37*K37*3</f>
        <v>11.82</v>
      </c>
      <c r="M37" s="8">
        <f>L37</f>
        <v>11.82</v>
      </c>
      <c r="N37" s="8">
        <f>M37</f>
        <v>11.82</v>
      </c>
      <c r="O37" s="8">
        <f>N37</f>
        <v>11.82</v>
      </c>
      <c r="P37" s="8">
        <f>J37*K37*12</f>
        <v>47.28</v>
      </c>
    </row>
    <row r="38" spans="1:17" ht="15">
      <c r="A38" s="45" t="s">
        <v>28</v>
      </c>
      <c r="B38" s="46"/>
      <c r="C38" s="46"/>
      <c r="D38" s="46"/>
      <c r="E38" s="46"/>
      <c r="F38" s="46"/>
      <c r="G38" s="46"/>
      <c r="H38" s="47"/>
      <c r="I38" s="2"/>
      <c r="J38" s="6"/>
      <c r="K38" s="2"/>
      <c r="L38" s="14">
        <f>SUM(L23:L37)</f>
        <v>1500.84</v>
      </c>
      <c r="M38" s="14">
        <f>SUM(M23:M37)</f>
        <v>1500.84</v>
      </c>
      <c r="N38" s="14">
        <f>SUM(N23:N37)</f>
        <v>1500.84</v>
      </c>
      <c r="O38" s="14">
        <f>SUM(O23:O37)</f>
        <v>1500.84</v>
      </c>
      <c r="P38" s="14">
        <f>SUM(P23:P37)</f>
        <v>6003.36</v>
      </c>
      <c r="Q38" s="15"/>
    </row>
    <row r="39" spans="1:16" ht="15" customHeight="1">
      <c r="A39" s="85" t="s">
        <v>123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13"/>
      <c r="M39" s="13"/>
      <c r="N39" s="13"/>
      <c r="O39" s="13"/>
      <c r="P39" s="8">
        <f>I15</f>
        <v>818.5694399999999</v>
      </c>
    </row>
    <row r="40" spans="1:16" ht="15" customHeight="1">
      <c r="A40" s="88" t="s">
        <v>29</v>
      </c>
      <c r="B40" s="89"/>
      <c r="C40" s="89"/>
      <c r="D40" s="89"/>
      <c r="E40" s="89"/>
      <c r="F40" s="89"/>
      <c r="G40" s="89"/>
      <c r="H40" s="90"/>
      <c r="I40" s="2"/>
      <c r="J40" s="6"/>
      <c r="K40" s="2"/>
      <c r="L40" s="13"/>
      <c r="M40" s="13"/>
      <c r="N40" s="13"/>
      <c r="O40" s="13"/>
      <c r="P40" s="14">
        <f>P38+P39</f>
        <v>6821.92944</v>
      </c>
    </row>
    <row r="41" spans="1:19" ht="15">
      <c r="A41" s="48" t="s">
        <v>30</v>
      </c>
      <c r="B41" s="49"/>
      <c r="C41" s="49"/>
      <c r="D41" s="49"/>
      <c r="E41" s="49"/>
      <c r="F41" s="49"/>
      <c r="G41" s="49"/>
      <c r="H41" s="84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</sheetData>
  <mergeCells count="43">
    <mergeCell ref="A38:H38"/>
    <mergeCell ref="A39:H39"/>
    <mergeCell ref="A40:H40"/>
    <mergeCell ref="A41:H41"/>
    <mergeCell ref="A32:H32"/>
    <mergeCell ref="A35:H35"/>
    <mergeCell ref="A36:H36"/>
    <mergeCell ref="A37:H37"/>
    <mergeCell ref="A33:H33"/>
    <mergeCell ref="A34:H34"/>
    <mergeCell ref="A28:H28"/>
    <mergeCell ref="A29:H29"/>
    <mergeCell ref="A30:G30"/>
    <mergeCell ref="A31:H31"/>
    <mergeCell ref="A24:H24"/>
    <mergeCell ref="A25:H25"/>
    <mergeCell ref="A26:H26"/>
    <mergeCell ref="A27:H27"/>
    <mergeCell ref="P20:P21"/>
    <mergeCell ref="A22:H22"/>
    <mergeCell ref="A23:H23"/>
    <mergeCell ref="A20:H21"/>
    <mergeCell ref="I20:I21"/>
    <mergeCell ref="J20:J21"/>
    <mergeCell ref="K20:K21"/>
    <mergeCell ref="A18:H18"/>
    <mergeCell ref="A19:I19"/>
    <mergeCell ref="A17:H17"/>
    <mergeCell ref="L20:O20"/>
    <mergeCell ref="A16:H16"/>
    <mergeCell ref="A13:H13"/>
    <mergeCell ref="A14:H14"/>
    <mergeCell ref="A15:H15"/>
    <mergeCell ref="A11:H11"/>
    <mergeCell ref="A12:H12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tabSelected="1" workbookViewId="0" topLeftCell="A1">
      <selection activeCell="L58" sqref="L58:O58"/>
    </sheetView>
  </sheetViews>
  <sheetFormatPr defaultColWidth="8.796875" defaultRowHeight="14.25"/>
  <cols>
    <col min="1" max="3" width="9.09765625" style="11" customWidth="1"/>
    <col min="4" max="4" width="6.69921875" style="11" customWidth="1"/>
    <col min="5" max="5" width="3.296875" style="11" customWidth="1"/>
    <col min="6" max="6" width="2.09765625" style="11" customWidth="1"/>
    <col min="7" max="7" width="1.1015625" style="11" customWidth="1"/>
    <col min="8" max="8" width="2" style="11" customWidth="1"/>
    <col min="9" max="9" width="7.69921875" style="11" customWidth="1"/>
    <col min="10" max="10" width="6.59765625" style="11" customWidth="1"/>
    <col min="11" max="11" width="6" style="11" customWidth="1"/>
    <col min="12" max="12" width="7.09765625" style="11" customWidth="1"/>
    <col min="13" max="13" width="7.59765625" style="11" customWidth="1"/>
    <col min="14" max="14" width="7.69921875" style="11" customWidth="1"/>
    <col min="15" max="15" width="7.59765625" style="11" customWidth="1"/>
    <col min="16" max="16" width="7.8984375" style="11" customWidth="1"/>
    <col min="17" max="16384" width="9.09765625" style="11" customWidth="1"/>
  </cols>
  <sheetData>
    <row r="1" spans="1:14" ht="11.25">
      <c r="A1" s="140" t="s">
        <v>1</v>
      </c>
      <c r="B1" s="140"/>
      <c r="L1" s="141"/>
      <c r="M1" s="142" t="s">
        <v>1</v>
      </c>
      <c r="N1" s="142"/>
    </row>
    <row r="2" ht="10.5" customHeight="1"/>
    <row r="3" spans="1:16" ht="11.25">
      <c r="A3" s="143" t="s">
        <v>0</v>
      </c>
      <c r="B3" s="143"/>
      <c r="L3" s="144" t="s">
        <v>26</v>
      </c>
      <c r="M3" s="144"/>
      <c r="N3" s="144"/>
      <c r="O3" s="144"/>
      <c r="P3" s="144"/>
    </row>
    <row r="4" spans="1:16" ht="11.25">
      <c r="A4" s="11" t="s">
        <v>22</v>
      </c>
      <c r="D4" s="11" t="s">
        <v>34</v>
      </c>
      <c r="L4" s="145" t="s">
        <v>31</v>
      </c>
      <c r="M4" s="145"/>
      <c r="N4" s="145"/>
      <c r="O4" s="145"/>
      <c r="P4" s="145"/>
    </row>
    <row r="5" spans="1:4" ht="11.25">
      <c r="A5" s="11" t="s">
        <v>22</v>
      </c>
      <c r="D5" s="11" t="s">
        <v>34</v>
      </c>
    </row>
    <row r="6" spans="1:16" ht="13.5" customHeight="1">
      <c r="A6" s="140" t="s">
        <v>33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12.75" customHeight="1">
      <c r="A7" s="146" t="s">
        <v>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9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5" ht="54.7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  <c r="O9" s="148"/>
    </row>
    <row r="10" spans="1:9" ht="12.7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4">
        <v>0</v>
      </c>
    </row>
    <row r="11" spans="1:9" ht="20.2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5.79*K37*12</f>
        <v>353194.632</v>
      </c>
    </row>
    <row r="12" spans="1:9" ht="21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K37*I97*12</f>
        <v>32330.424</v>
      </c>
    </row>
    <row r="13" spans="1:9" ht="19.5" customHeight="1">
      <c r="A13" s="62" t="s">
        <v>105</v>
      </c>
      <c r="B13" s="62"/>
      <c r="C13" s="62"/>
      <c r="D13" s="62"/>
      <c r="E13" s="62"/>
      <c r="F13" s="62"/>
      <c r="G13" s="62"/>
      <c r="H13" s="62"/>
      <c r="I13" s="8">
        <f>K39*I98*12</f>
        <v>176902.31999999998</v>
      </c>
    </row>
    <row r="14" spans="1:9" ht="11.25" customHeight="1">
      <c r="A14" s="62" t="s">
        <v>106</v>
      </c>
      <c r="B14" s="62"/>
      <c r="C14" s="62"/>
      <c r="D14" s="62"/>
      <c r="E14" s="62"/>
      <c r="F14" s="62"/>
      <c r="G14" s="62"/>
      <c r="H14" s="62"/>
      <c r="I14" s="8">
        <f>K50*I99*12</f>
        <v>133591.75199999998</v>
      </c>
    </row>
    <row r="15" spans="1:9" ht="9.75" customHeight="1">
      <c r="A15" s="108" t="s">
        <v>38</v>
      </c>
      <c r="B15" s="108"/>
      <c r="C15" s="108"/>
      <c r="D15" s="108"/>
      <c r="E15" s="108"/>
      <c r="F15" s="108"/>
      <c r="G15" s="108"/>
      <c r="H15" s="108"/>
      <c r="I15" s="8"/>
    </row>
    <row r="16" spans="1:9" ht="9.75" customHeight="1">
      <c r="A16" s="109" t="s">
        <v>35</v>
      </c>
      <c r="B16" s="109"/>
      <c r="C16" s="109"/>
      <c r="D16" s="109"/>
      <c r="E16" s="109"/>
      <c r="F16" s="109"/>
      <c r="G16" s="109"/>
      <c r="H16" s="109"/>
      <c r="I16" s="44">
        <f>15000*12</f>
        <v>180000</v>
      </c>
    </row>
    <row r="17" spans="1:9" ht="11.25" customHeight="1">
      <c r="A17" s="109" t="s">
        <v>36</v>
      </c>
      <c r="B17" s="109"/>
      <c r="C17" s="109"/>
      <c r="D17" s="109"/>
      <c r="E17" s="109"/>
      <c r="F17" s="109"/>
      <c r="G17" s="109"/>
      <c r="H17" s="109"/>
      <c r="I17" s="6">
        <f>15000*12</f>
        <v>180000</v>
      </c>
    </row>
    <row r="18" spans="1:9" ht="12" customHeight="1">
      <c r="A18" s="109" t="s">
        <v>37</v>
      </c>
      <c r="B18" s="109"/>
      <c r="C18" s="109"/>
      <c r="D18" s="109"/>
      <c r="E18" s="109"/>
      <c r="F18" s="109"/>
      <c r="G18" s="109"/>
      <c r="H18" s="109"/>
      <c r="I18" s="6">
        <f>15000*12</f>
        <v>180000</v>
      </c>
    </row>
    <row r="19" spans="1:9" ht="10.5" customHeight="1">
      <c r="A19" s="113" t="s">
        <v>97</v>
      </c>
      <c r="B19" s="114"/>
      <c r="C19" s="114"/>
      <c r="D19" s="114"/>
      <c r="E19" s="114"/>
      <c r="F19" s="114"/>
      <c r="G19" s="114"/>
      <c r="H19" s="115"/>
      <c r="I19" s="6">
        <f>100*1*12</f>
        <v>1200</v>
      </c>
    </row>
    <row r="20" spans="1:9" ht="12" customHeight="1">
      <c r="A20" s="113" t="s">
        <v>98</v>
      </c>
      <c r="B20" s="114"/>
      <c r="C20" s="114"/>
      <c r="D20" s="114"/>
      <c r="E20" s="114"/>
      <c r="F20" s="114"/>
      <c r="G20" s="114"/>
      <c r="H20" s="115"/>
      <c r="I20" s="6">
        <f>150*1*12</f>
        <v>1800</v>
      </c>
    </row>
    <row r="21" spans="1:9" ht="12" customHeight="1">
      <c r="A21" s="113" t="s">
        <v>99</v>
      </c>
      <c r="B21" s="114"/>
      <c r="C21" s="114"/>
      <c r="D21" s="114"/>
      <c r="E21" s="114"/>
      <c r="F21" s="114"/>
      <c r="G21" s="114"/>
      <c r="H21" s="115"/>
      <c r="I21" s="6">
        <f>100*1*12</f>
        <v>1200</v>
      </c>
    </row>
    <row r="22" spans="1:9" ht="12" customHeight="1">
      <c r="A22" s="122" t="s">
        <v>42</v>
      </c>
      <c r="B22" s="122"/>
      <c r="C22" s="122"/>
      <c r="D22" s="122"/>
      <c r="E22" s="122"/>
      <c r="F22" s="122"/>
      <c r="G22" s="122"/>
      <c r="H22" s="122"/>
      <c r="I22" s="6">
        <f>SUM(I16:I21)</f>
        <v>544200</v>
      </c>
    </row>
    <row r="23" spans="1:9" ht="11.25" customHeight="1">
      <c r="A23" s="116" t="s">
        <v>43</v>
      </c>
      <c r="B23" s="117"/>
      <c r="C23" s="117"/>
      <c r="D23" s="117"/>
      <c r="E23" s="117"/>
      <c r="F23" s="117"/>
      <c r="G23" s="117"/>
      <c r="H23" s="118"/>
      <c r="I23" s="16"/>
    </row>
    <row r="24" spans="1:9" ht="11.25" customHeight="1">
      <c r="A24" s="119" t="s">
        <v>44</v>
      </c>
      <c r="B24" s="120"/>
      <c r="C24" s="120"/>
      <c r="D24" s="120"/>
      <c r="E24" s="120"/>
      <c r="F24" s="120"/>
      <c r="G24" s="120"/>
      <c r="H24" s="121"/>
      <c r="I24" s="19">
        <f>SUM(I11:I14)*12%</f>
        <v>83522.29535999999</v>
      </c>
    </row>
    <row r="25" spans="1:13" ht="12" customHeight="1">
      <c r="A25" s="119" t="s">
        <v>45</v>
      </c>
      <c r="B25" s="120"/>
      <c r="C25" s="120"/>
      <c r="D25" s="120"/>
      <c r="E25" s="120"/>
      <c r="F25" s="120"/>
      <c r="G25" s="120"/>
      <c r="H25" s="121"/>
      <c r="I25" s="6">
        <f>I22*27%</f>
        <v>146934</v>
      </c>
      <c r="M25" s="149"/>
    </row>
    <row r="26" spans="1:9" ht="11.25" customHeight="1">
      <c r="A26" s="91" t="s">
        <v>46</v>
      </c>
      <c r="B26" s="92"/>
      <c r="C26" s="92"/>
      <c r="D26" s="92"/>
      <c r="E26" s="92"/>
      <c r="F26" s="92"/>
      <c r="G26" s="92"/>
      <c r="H26" s="93"/>
      <c r="I26" s="8">
        <f>I24+I25</f>
        <v>230456.29536</v>
      </c>
    </row>
    <row r="27" spans="1:9" ht="11.25" customHeight="1">
      <c r="A27" s="88" t="s">
        <v>4</v>
      </c>
      <c r="B27" s="89"/>
      <c r="C27" s="89"/>
      <c r="D27" s="89"/>
      <c r="E27" s="89"/>
      <c r="F27" s="89"/>
      <c r="G27" s="89"/>
      <c r="H27" s="90"/>
      <c r="I27" s="14">
        <f>SUM(I11:I21)-I26</f>
        <v>1009762.83264</v>
      </c>
    </row>
    <row r="28" spans="1:9" ht="19.5" customHeight="1">
      <c r="A28" s="85" t="s">
        <v>5</v>
      </c>
      <c r="B28" s="86"/>
      <c r="C28" s="86"/>
      <c r="D28" s="86"/>
      <c r="E28" s="86"/>
      <c r="F28" s="86"/>
      <c r="G28" s="86"/>
      <c r="H28" s="87"/>
      <c r="I28" s="6">
        <v>5.79</v>
      </c>
    </row>
    <row r="29" spans="1:9" ht="17.25" customHeight="1">
      <c r="A29" s="85" t="s">
        <v>101</v>
      </c>
      <c r="B29" s="86"/>
      <c r="C29" s="86"/>
      <c r="D29" s="86"/>
      <c r="E29" s="86"/>
      <c r="F29" s="86"/>
      <c r="G29" s="86"/>
      <c r="H29" s="87"/>
      <c r="I29" s="6">
        <v>0.53</v>
      </c>
    </row>
    <row r="30" spans="1:9" ht="20.25" customHeight="1">
      <c r="A30" s="85" t="s">
        <v>102</v>
      </c>
      <c r="B30" s="86"/>
      <c r="C30" s="86"/>
      <c r="D30" s="86"/>
      <c r="E30" s="86"/>
      <c r="F30" s="86"/>
      <c r="G30" s="86"/>
      <c r="H30" s="87"/>
      <c r="I30" s="6">
        <v>2.9</v>
      </c>
    </row>
    <row r="31" spans="1:9" ht="13.5" customHeight="1">
      <c r="A31" s="85" t="s">
        <v>103</v>
      </c>
      <c r="B31" s="86"/>
      <c r="C31" s="86"/>
      <c r="D31" s="86"/>
      <c r="E31" s="86"/>
      <c r="F31" s="86"/>
      <c r="G31" s="86"/>
      <c r="H31" s="87"/>
      <c r="I31" s="6">
        <v>2.19</v>
      </c>
    </row>
    <row r="32" spans="1:9" ht="6.75" customHeight="1">
      <c r="A32" s="95"/>
      <c r="B32" s="95"/>
      <c r="C32" s="95"/>
      <c r="D32" s="95"/>
      <c r="E32" s="95"/>
      <c r="F32" s="95"/>
      <c r="G32" s="95"/>
      <c r="H32" s="95"/>
      <c r="I32" s="95"/>
    </row>
    <row r="33" spans="1:16" ht="15" customHeight="1">
      <c r="A33" s="101" t="s">
        <v>7</v>
      </c>
      <c r="B33" s="101"/>
      <c r="C33" s="101"/>
      <c r="D33" s="101"/>
      <c r="E33" s="101"/>
      <c r="F33" s="101"/>
      <c r="G33" s="101"/>
      <c r="H33" s="101"/>
      <c r="I33" s="102" t="s">
        <v>8</v>
      </c>
      <c r="J33" s="102" t="s">
        <v>9</v>
      </c>
      <c r="K33" s="102" t="s">
        <v>10</v>
      </c>
      <c r="L33" s="99" t="s">
        <v>11</v>
      </c>
      <c r="M33" s="99"/>
      <c r="N33" s="99"/>
      <c r="O33" s="100"/>
      <c r="P33" s="101" t="s">
        <v>16</v>
      </c>
    </row>
    <row r="34" spans="1:16" ht="22.5" customHeight="1">
      <c r="A34" s="101"/>
      <c r="B34" s="101"/>
      <c r="C34" s="101"/>
      <c r="D34" s="101"/>
      <c r="E34" s="101"/>
      <c r="F34" s="101"/>
      <c r="G34" s="101"/>
      <c r="H34" s="101"/>
      <c r="I34" s="103"/>
      <c r="J34" s="103"/>
      <c r="K34" s="103"/>
      <c r="L34" s="6" t="s">
        <v>12</v>
      </c>
      <c r="M34" s="6" t="s">
        <v>13</v>
      </c>
      <c r="N34" s="6" t="s">
        <v>14</v>
      </c>
      <c r="O34" s="6" t="s">
        <v>15</v>
      </c>
      <c r="P34" s="101"/>
    </row>
    <row r="35" spans="1:16" ht="11.25">
      <c r="A35" s="45" t="s">
        <v>17</v>
      </c>
      <c r="B35" s="46"/>
      <c r="C35" s="46"/>
      <c r="D35" s="46"/>
      <c r="E35" s="46"/>
      <c r="F35" s="46"/>
      <c r="G35" s="46"/>
      <c r="H35" s="47"/>
      <c r="I35" s="5"/>
      <c r="J35" s="5"/>
      <c r="K35" s="5"/>
      <c r="L35" s="6"/>
      <c r="M35" s="6"/>
      <c r="N35" s="6"/>
      <c r="O35" s="6"/>
      <c r="P35" s="5"/>
    </row>
    <row r="36" spans="1:16" ht="11.25" customHeight="1">
      <c r="A36" s="48" t="s">
        <v>18</v>
      </c>
      <c r="B36" s="49"/>
      <c r="C36" s="49"/>
      <c r="D36" s="49"/>
      <c r="E36" s="49"/>
      <c r="F36" s="49"/>
      <c r="G36" s="49"/>
      <c r="H36" s="84"/>
      <c r="I36" s="5"/>
      <c r="J36" s="5"/>
      <c r="K36" s="5"/>
      <c r="L36" s="6">
        <f>P36/4</f>
        <v>7500</v>
      </c>
      <c r="M36" s="6">
        <f>P36/4</f>
        <v>7500</v>
      </c>
      <c r="N36" s="6">
        <f>P36/4</f>
        <v>7500</v>
      </c>
      <c r="O36" s="6">
        <f>P36/4</f>
        <v>7500</v>
      </c>
      <c r="P36" s="8">
        <v>30000</v>
      </c>
    </row>
    <row r="37" spans="1:18" ht="21" customHeight="1">
      <c r="A37" s="48" t="s">
        <v>19</v>
      </c>
      <c r="B37" s="49"/>
      <c r="C37" s="49"/>
      <c r="D37" s="49"/>
      <c r="E37" s="49"/>
      <c r="F37" s="49"/>
      <c r="G37" s="49"/>
      <c r="H37" s="84"/>
      <c r="I37" s="42" t="s">
        <v>23</v>
      </c>
      <c r="J37" s="6">
        <v>0.52</v>
      </c>
      <c r="K37" s="6">
        <v>5083.4</v>
      </c>
      <c r="L37" s="6">
        <v>7930</v>
      </c>
      <c r="M37" s="6">
        <v>7930</v>
      </c>
      <c r="N37" s="6">
        <v>7930</v>
      </c>
      <c r="O37" s="6">
        <v>7930</v>
      </c>
      <c r="P37" s="8">
        <f>J37*K37*12</f>
        <v>31720.415999999997</v>
      </c>
      <c r="R37" s="12"/>
    </row>
    <row r="38" spans="1:16" ht="21.75" customHeight="1">
      <c r="A38" s="48" t="s">
        <v>20</v>
      </c>
      <c r="B38" s="49"/>
      <c r="C38" s="49"/>
      <c r="D38" s="49"/>
      <c r="E38" s="49"/>
      <c r="F38" s="49"/>
      <c r="G38" s="49"/>
      <c r="H38" s="84"/>
      <c r="I38" s="42" t="s">
        <v>23</v>
      </c>
      <c r="J38" s="6">
        <v>0.9</v>
      </c>
      <c r="K38" s="6">
        <v>5083.4</v>
      </c>
      <c r="L38" s="6">
        <v>13725</v>
      </c>
      <c r="M38" s="6">
        <v>13725</v>
      </c>
      <c r="N38" s="6">
        <v>13725</v>
      </c>
      <c r="O38" s="6">
        <v>13726</v>
      </c>
      <c r="P38" s="8">
        <f>K38*J38*12</f>
        <v>54900.719999999994</v>
      </c>
    </row>
    <row r="39" spans="1:16" ht="20.25" customHeight="1">
      <c r="A39" s="48" t="s">
        <v>21</v>
      </c>
      <c r="B39" s="49"/>
      <c r="C39" s="49"/>
      <c r="D39" s="49"/>
      <c r="E39" s="49"/>
      <c r="F39" s="49"/>
      <c r="G39" s="49"/>
      <c r="H39" s="84"/>
      <c r="I39" s="42" t="s">
        <v>23</v>
      </c>
      <c r="J39" s="6">
        <v>0.38</v>
      </c>
      <c r="K39" s="6">
        <v>5083.4</v>
      </c>
      <c r="L39" s="6">
        <v>5795</v>
      </c>
      <c r="M39" s="6">
        <v>5795</v>
      </c>
      <c r="N39" s="6">
        <v>5795</v>
      </c>
      <c r="O39" s="6">
        <v>5795</v>
      </c>
      <c r="P39" s="8">
        <f>K39*J39*12</f>
        <v>23180.303999999996</v>
      </c>
    </row>
    <row r="40" spans="1:16" ht="12.75" customHeight="1">
      <c r="A40" s="85" t="s">
        <v>39</v>
      </c>
      <c r="B40" s="86"/>
      <c r="C40" s="86"/>
      <c r="D40" s="86"/>
      <c r="E40" s="86"/>
      <c r="F40" s="86"/>
      <c r="G40" s="86"/>
      <c r="H40" s="87"/>
      <c r="I40" s="42"/>
      <c r="J40" s="6"/>
      <c r="K40" s="6"/>
      <c r="L40" s="6">
        <f>P40/4</f>
        <v>10500</v>
      </c>
      <c r="M40" s="6">
        <f>P40/4</f>
        <v>10500</v>
      </c>
      <c r="N40" s="6">
        <f>P40/4</f>
        <v>10500</v>
      </c>
      <c r="O40" s="6">
        <f>P40/4</f>
        <v>10500</v>
      </c>
      <c r="P40" s="6">
        <v>42000</v>
      </c>
    </row>
    <row r="41" spans="1:16" ht="19.5" customHeight="1">
      <c r="A41" s="48" t="s">
        <v>40</v>
      </c>
      <c r="B41" s="49"/>
      <c r="C41" s="49"/>
      <c r="D41" s="49"/>
      <c r="E41" s="49"/>
      <c r="F41" s="49"/>
      <c r="G41" s="49"/>
      <c r="H41" s="84"/>
      <c r="I41" s="42" t="s">
        <v>23</v>
      </c>
      <c r="J41" s="6">
        <v>0.95</v>
      </c>
      <c r="K41" s="6">
        <v>5083.4</v>
      </c>
      <c r="L41" s="6">
        <v>14488</v>
      </c>
      <c r="M41" s="6">
        <v>14488</v>
      </c>
      <c r="N41" s="6">
        <v>14488</v>
      </c>
      <c r="O41" s="6">
        <v>14487</v>
      </c>
      <c r="P41" s="8">
        <f>J41*K41*12</f>
        <v>57950.759999999995</v>
      </c>
    </row>
    <row r="42" spans="1:16" ht="20.25" customHeight="1">
      <c r="A42" s="48" t="s">
        <v>41</v>
      </c>
      <c r="B42" s="49"/>
      <c r="C42" s="49"/>
      <c r="D42" s="49"/>
      <c r="E42" s="49"/>
      <c r="F42" s="49"/>
      <c r="G42" s="49"/>
      <c r="H42" s="84"/>
      <c r="I42" s="42" t="s">
        <v>23</v>
      </c>
      <c r="J42" s="6">
        <v>0.8</v>
      </c>
      <c r="K42" s="6">
        <v>5083.4</v>
      </c>
      <c r="L42" s="6">
        <v>12200</v>
      </c>
      <c r="M42" s="6">
        <v>12200</v>
      </c>
      <c r="N42" s="6">
        <v>12200</v>
      </c>
      <c r="O42" s="6">
        <v>12201</v>
      </c>
      <c r="P42" s="8">
        <f>J42*K42*12</f>
        <v>48800.64</v>
      </c>
    </row>
    <row r="43" spans="1:16" ht="15" customHeight="1">
      <c r="A43" s="48" t="s">
        <v>47</v>
      </c>
      <c r="B43" s="49"/>
      <c r="C43" s="49"/>
      <c r="D43" s="49"/>
      <c r="E43" s="49"/>
      <c r="F43" s="49"/>
      <c r="G43" s="49"/>
      <c r="H43" s="17"/>
      <c r="I43" s="4" t="s">
        <v>24</v>
      </c>
      <c r="J43" s="6">
        <v>200</v>
      </c>
      <c r="K43" s="6">
        <v>1</v>
      </c>
      <c r="L43" s="6">
        <v>600</v>
      </c>
      <c r="M43" s="6">
        <v>600</v>
      </c>
      <c r="N43" s="6">
        <v>600</v>
      </c>
      <c r="O43" s="6">
        <v>600</v>
      </c>
      <c r="P43" s="8">
        <f>SUM(L43:O43)</f>
        <v>2400</v>
      </c>
    </row>
    <row r="44" spans="1:16" ht="22.5" customHeight="1">
      <c r="A44" s="85" t="s">
        <v>48</v>
      </c>
      <c r="B44" s="86"/>
      <c r="C44" s="86"/>
      <c r="D44" s="86"/>
      <c r="E44" s="86"/>
      <c r="F44" s="86"/>
      <c r="G44" s="86"/>
      <c r="H44" s="87"/>
      <c r="I44" s="5"/>
      <c r="J44" s="6"/>
      <c r="K44" s="5"/>
      <c r="L44" s="6">
        <f>P44/4</f>
        <v>15756</v>
      </c>
      <c r="M44" s="6">
        <f>P44/4</f>
        <v>15756</v>
      </c>
      <c r="N44" s="6">
        <f>P44/4</f>
        <v>15756</v>
      </c>
      <c r="O44" s="6">
        <f>P44/4</f>
        <v>15756</v>
      </c>
      <c r="P44" s="8">
        <v>63024</v>
      </c>
    </row>
    <row r="45" spans="1:18" ht="12" customHeight="1">
      <c r="A45" s="48" t="s">
        <v>49</v>
      </c>
      <c r="B45" s="49"/>
      <c r="C45" s="49"/>
      <c r="D45" s="49"/>
      <c r="E45" s="49"/>
      <c r="F45" s="49"/>
      <c r="G45" s="49"/>
      <c r="H45" s="84"/>
      <c r="I45" s="6" t="s">
        <v>25</v>
      </c>
      <c r="J45" s="6">
        <v>1</v>
      </c>
      <c r="K45" s="6">
        <v>564.6</v>
      </c>
      <c r="L45" s="6"/>
      <c r="M45" s="6">
        <v>282</v>
      </c>
      <c r="N45" s="6"/>
      <c r="O45" s="6">
        <v>282</v>
      </c>
      <c r="P45" s="8">
        <f>M45+O45</f>
        <v>564</v>
      </c>
      <c r="R45" s="12"/>
    </row>
    <row r="46" spans="1:18" ht="12" customHeight="1">
      <c r="A46" s="48" t="s">
        <v>50</v>
      </c>
      <c r="B46" s="49"/>
      <c r="C46" s="49"/>
      <c r="D46" s="49"/>
      <c r="E46" s="49"/>
      <c r="F46" s="49"/>
      <c r="G46" s="49"/>
      <c r="H46" s="84"/>
      <c r="I46" s="5"/>
      <c r="J46" s="6"/>
      <c r="K46" s="6"/>
      <c r="L46" s="6">
        <f>5747*3*4</f>
        <v>68964</v>
      </c>
      <c r="M46" s="6">
        <f>5747*3*4</f>
        <v>68964</v>
      </c>
      <c r="N46" s="6">
        <f>5747*3*4</f>
        <v>68964</v>
      </c>
      <c r="O46" s="6">
        <f>5747*3*4</f>
        <v>68964</v>
      </c>
      <c r="P46" s="8">
        <f>5747*4*12</f>
        <v>275856</v>
      </c>
      <c r="Q46" s="150"/>
      <c r="R46" s="12"/>
    </row>
    <row r="47" spans="1:18" ht="10.5" customHeight="1">
      <c r="A47" s="48" t="s">
        <v>124</v>
      </c>
      <c r="B47" s="49"/>
      <c r="C47" s="49"/>
      <c r="D47" s="49"/>
      <c r="E47" s="49"/>
      <c r="F47" s="49"/>
      <c r="G47" s="49"/>
      <c r="H47" s="17"/>
      <c r="I47" s="5"/>
      <c r="J47" s="6"/>
      <c r="K47" s="6"/>
      <c r="L47" s="6">
        <f>P47/4</f>
        <v>4500</v>
      </c>
      <c r="M47" s="6">
        <f>P47/4</f>
        <v>4500</v>
      </c>
      <c r="N47" s="6">
        <f>P47/4</f>
        <v>4500</v>
      </c>
      <c r="O47" s="6">
        <f>P47/4</f>
        <v>4500</v>
      </c>
      <c r="P47" s="8">
        <f>1500*12</f>
        <v>18000</v>
      </c>
      <c r="R47" s="12"/>
    </row>
    <row r="48" spans="1:18" ht="11.25" customHeight="1">
      <c r="A48" s="151" t="s">
        <v>125</v>
      </c>
      <c r="B48" s="152"/>
      <c r="C48" s="152"/>
      <c r="D48" s="152"/>
      <c r="E48" s="152"/>
      <c r="F48" s="152"/>
      <c r="G48" s="152"/>
      <c r="H48" s="153"/>
      <c r="I48" s="5"/>
      <c r="J48" s="6"/>
      <c r="K48" s="6"/>
      <c r="L48" s="6">
        <f>P48/4</f>
        <v>6000</v>
      </c>
      <c r="M48" s="6">
        <f>P48/4</f>
        <v>6000</v>
      </c>
      <c r="N48" s="6">
        <f>P48/4</f>
        <v>6000</v>
      </c>
      <c r="O48" s="6">
        <f>P48/4</f>
        <v>6000</v>
      </c>
      <c r="P48" s="8">
        <f>2000*12</f>
        <v>24000</v>
      </c>
      <c r="R48" s="12"/>
    </row>
    <row r="49" spans="1:18" ht="12" customHeight="1">
      <c r="A49" s="45" t="s">
        <v>107</v>
      </c>
      <c r="B49" s="46"/>
      <c r="C49" s="46"/>
      <c r="D49" s="46"/>
      <c r="E49" s="46"/>
      <c r="F49" s="46"/>
      <c r="G49" s="46"/>
      <c r="H49" s="47"/>
      <c r="I49" s="6"/>
      <c r="J49" s="6"/>
      <c r="K49" s="6"/>
      <c r="L49" s="6"/>
      <c r="M49" s="6"/>
      <c r="N49" s="6"/>
      <c r="O49" s="6"/>
      <c r="P49" s="8"/>
      <c r="R49" s="12"/>
    </row>
    <row r="50" spans="1:18" ht="18.75" customHeight="1">
      <c r="A50" s="48" t="s">
        <v>108</v>
      </c>
      <c r="B50" s="49"/>
      <c r="C50" s="49"/>
      <c r="D50" s="49"/>
      <c r="E50" s="49"/>
      <c r="F50" s="49"/>
      <c r="G50" s="49"/>
      <c r="H50" s="84"/>
      <c r="I50" s="42" t="s">
        <v>23</v>
      </c>
      <c r="J50" s="6">
        <v>0.48</v>
      </c>
      <c r="K50" s="6">
        <v>5083.4</v>
      </c>
      <c r="L50" s="8">
        <f>P50/4</f>
        <v>7320.096</v>
      </c>
      <c r="M50" s="8">
        <f>P50/4</f>
        <v>7320.096</v>
      </c>
      <c r="N50" s="8">
        <f>P50/4</f>
        <v>7320.096</v>
      </c>
      <c r="O50" s="8">
        <f>P50/4</f>
        <v>7320.096</v>
      </c>
      <c r="P50" s="8">
        <f>K50*J50*12</f>
        <v>29280.384</v>
      </c>
      <c r="R50" s="12"/>
    </row>
    <row r="51" spans="1:18" ht="11.25">
      <c r="A51" s="45" t="s">
        <v>109</v>
      </c>
      <c r="B51" s="46"/>
      <c r="C51" s="46"/>
      <c r="D51" s="46"/>
      <c r="E51" s="46"/>
      <c r="F51" s="46"/>
      <c r="G51" s="46"/>
      <c r="H51" s="47"/>
      <c r="I51" s="6"/>
      <c r="J51" s="6"/>
      <c r="K51" s="6"/>
      <c r="L51" s="6"/>
      <c r="M51" s="6"/>
      <c r="N51" s="6"/>
      <c r="O51" s="6"/>
      <c r="P51" s="8"/>
      <c r="R51" s="12"/>
    </row>
    <row r="52" spans="1:18" ht="20.25" customHeight="1">
      <c r="A52" s="48" t="s">
        <v>110</v>
      </c>
      <c r="B52" s="49"/>
      <c r="C52" s="49"/>
      <c r="D52" s="49"/>
      <c r="E52" s="49"/>
      <c r="F52" s="49"/>
      <c r="G52" s="49"/>
      <c r="H52" s="84"/>
      <c r="I52" s="42" t="s">
        <v>23</v>
      </c>
      <c r="J52" s="6">
        <v>2.52</v>
      </c>
      <c r="K52" s="6">
        <v>5083.4</v>
      </c>
      <c r="L52" s="6">
        <f>P52/4</f>
        <v>38430.504</v>
      </c>
      <c r="M52" s="8">
        <f>P52/4</f>
        <v>38430.504</v>
      </c>
      <c r="N52" s="6">
        <f>P52/4</f>
        <v>38430.504</v>
      </c>
      <c r="O52" s="6">
        <f>P52/4</f>
        <v>38430.504</v>
      </c>
      <c r="P52" s="8">
        <f>K52*J52*12</f>
        <v>153722.016</v>
      </c>
      <c r="R52" s="12"/>
    </row>
    <row r="53" spans="1:18" ht="11.25" customHeight="1">
      <c r="A53" s="45" t="s">
        <v>111</v>
      </c>
      <c r="B53" s="46"/>
      <c r="C53" s="46"/>
      <c r="D53" s="46"/>
      <c r="E53" s="46"/>
      <c r="F53" s="46"/>
      <c r="G53" s="46"/>
      <c r="H53" s="47"/>
      <c r="I53" s="4"/>
      <c r="J53" s="6"/>
      <c r="K53" s="6"/>
      <c r="L53" s="6"/>
      <c r="M53" s="6"/>
      <c r="N53" s="6"/>
      <c r="O53" s="6"/>
      <c r="P53" s="8"/>
      <c r="R53" s="12"/>
    </row>
    <row r="54" spans="1:18" ht="19.5" customHeight="1">
      <c r="A54" s="48" t="s">
        <v>112</v>
      </c>
      <c r="B54" s="49"/>
      <c r="C54" s="49"/>
      <c r="D54" s="49"/>
      <c r="E54" s="49"/>
      <c r="F54" s="49"/>
      <c r="G54" s="49"/>
      <c r="H54" s="84"/>
      <c r="I54" s="42" t="s">
        <v>23</v>
      </c>
      <c r="J54" s="6">
        <v>1.9</v>
      </c>
      <c r="K54" s="6">
        <v>5083.4</v>
      </c>
      <c r="L54" s="6">
        <f>P54/4</f>
        <v>28975.379999999997</v>
      </c>
      <c r="M54" s="8">
        <f>P54/4</f>
        <v>28975.379999999997</v>
      </c>
      <c r="N54" s="6">
        <f>P54/4</f>
        <v>28975.379999999997</v>
      </c>
      <c r="O54" s="6">
        <f>P54/4</f>
        <v>28975.379999999997</v>
      </c>
      <c r="P54" s="8">
        <f>K54*J54*12</f>
        <v>115901.51999999999</v>
      </c>
      <c r="R54" s="12"/>
    </row>
    <row r="55" spans="1:16" ht="11.25" customHeight="1">
      <c r="A55" s="45" t="s">
        <v>113</v>
      </c>
      <c r="B55" s="46"/>
      <c r="C55" s="46"/>
      <c r="D55" s="46"/>
      <c r="E55" s="46"/>
      <c r="F55" s="46"/>
      <c r="G55" s="46"/>
      <c r="H55" s="47"/>
      <c r="I55" s="5"/>
      <c r="J55" s="6"/>
      <c r="K55" s="5"/>
      <c r="L55" s="5"/>
      <c r="M55" s="5"/>
      <c r="N55" s="5"/>
      <c r="O55" s="5"/>
      <c r="P55" s="6"/>
    </row>
    <row r="56" spans="1:16" ht="12" customHeight="1">
      <c r="A56" s="154" t="s">
        <v>114</v>
      </c>
      <c r="B56" s="155"/>
      <c r="C56" s="155"/>
      <c r="D56" s="155"/>
      <c r="E56" s="155"/>
      <c r="F56" s="155"/>
      <c r="G56" s="155"/>
      <c r="H56" s="156"/>
      <c r="I56" s="5"/>
      <c r="J56" s="6"/>
      <c r="K56" s="5"/>
      <c r="L56" s="8">
        <f>P56/4</f>
        <v>7322.5</v>
      </c>
      <c r="M56" s="8">
        <f>P56/4</f>
        <v>7322.5</v>
      </c>
      <c r="N56" s="8">
        <f>P56/4</f>
        <v>7322.5</v>
      </c>
      <c r="O56" s="8">
        <f>P56/4</f>
        <v>7322.5</v>
      </c>
      <c r="P56" s="6">
        <v>29290</v>
      </c>
    </row>
    <row r="57" spans="1:16" ht="10.5" customHeight="1">
      <c r="A57" s="85" t="s">
        <v>115</v>
      </c>
      <c r="B57" s="86"/>
      <c r="C57" s="86"/>
      <c r="D57" s="86"/>
      <c r="E57" s="86"/>
      <c r="F57" s="86"/>
      <c r="G57" s="86"/>
      <c r="H57" s="87"/>
      <c r="I57" s="6" t="s">
        <v>27</v>
      </c>
      <c r="J57" s="6">
        <v>3.94</v>
      </c>
      <c r="K57" s="6">
        <v>194</v>
      </c>
      <c r="L57" s="8">
        <f>J57*K57*3</f>
        <v>2293.08</v>
      </c>
      <c r="M57" s="8">
        <f>L57</f>
        <v>2293.08</v>
      </c>
      <c r="N57" s="8">
        <f>M57</f>
        <v>2293.08</v>
      </c>
      <c r="O57" s="8">
        <f>N57</f>
        <v>2293.08</v>
      </c>
      <c r="P57" s="8">
        <f>J57*K57*12</f>
        <v>9172.32</v>
      </c>
    </row>
    <row r="58" spans="1:17" ht="11.25" customHeight="1">
      <c r="A58" s="45" t="s">
        <v>28</v>
      </c>
      <c r="B58" s="46"/>
      <c r="C58" s="46"/>
      <c r="D58" s="46"/>
      <c r="E58" s="46"/>
      <c r="F58" s="46"/>
      <c r="G58" s="46"/>
      <c r="H58" s="47"/>
      <c r="I58" s="5"/>
      <c r="J58" s="6"/>
      <c r="K58" s="5"/>
      <c r="L58" s="14">
        <f>SUM(L36:L57)</f>
        <v>252299.55999999997</v>
      </c>
      <c r="M58" s="14">
        <f>SUM(M36:M57)</f>
        <v>252581.55999999997</v>
      </c>
      <c r="N58" s="14">
        <f>SUM(N36:N57)</f>
        <v>252299.55999999997</v>
      </c>
      <c r="O58" s="14">
        <f>SUM(O36:O57)</f>
        <v>252582.55999999997</v>
      </c>
      <c r="P58" s="14">
        <f>SUM(P36:P57)</f>
        <v>1009763.08</v>
      </c>
      <c r="Q58" s="150">
        <f>I95-P58</f>
        <v>-0.24735999992117286</v>
      </c>
    </row>
    <row r="59" spans="1:16" ht="10.5" customHeight="1">
      <c r="A59" s="85" t="s">
        <v>123</v>
      </c>
      <c r="B59" s="86"/>
      <c r="C59" s="86"/>
      <c r="D59" s="86"/>
      <c r="E59" s="86"/>
      <c r="F59" s="86"/>
      <c r="G59" s="86"/>
      <c r="H59" s="87"/>
      <c r="I59" s="5"/>
      <c r="J59" s="6"/>
      <c r="K59" s="5"/>
      <c r="L59" s="13"/>
      <c r="M59" s="13"/>
      <c r="N59" s="13"/>
      <c r="O59" s="13"/>
      <c r="P59" s="8">
        <f>I94</f>
        <v>230456.29536</v>
      </c>
    </row>
    <row r="60" spans="1:16" ht="11.25" customHeight="1">
      <c r="A60" s="88" t="s">
        <v>29</v>
      </c>
      <c r="B60" s="89"/>
      <c r="C60" s="89"/>
      <c r="D60" s="89"/>
      <c r="E60" s="89"/>
      <c r="F60" s="89"/>
      <c r="G60" s="89"/>
      <c r="H60" s="90"/>
      <c r="I60" s="5"/>
      <c r="J60" s="6"/>
      <c r="K60" s="5"/>
      <c r="L60" s="13"/>
      <c r="M60" s="13"/>
      <c r="N60" s="13"/>
      <c r="O60" s="13"/>
      <c r="P60" s="14">
        <f>P58+P59</f>
        <v>1240219.37536</v>
      </c>
    </row>
    <row r="61" spans="1:19" ht="9.75" customHeight="1">
      <c r="A61" s="48" t="s">
        <v>30</v>
      </c>
      <c r="B61" s="49"/>
      <c r="C61" s="49"/>
      <c r="D61" s="49"/>
      <c r="E61" s="49"/>
      <c r="F61" s="49"/>
      <c r="G61" s="49"/>
      <c r="H61" s="84"/>
      <c r="I61" s="5"/>
      <c r="J61" s="6"/>
      <c r="K61" s="5"/>
      <c r="L61" s="5"/>
      <c r="M61" s="5"/>
      <c r="N61" s="5"/>
      <c r="O61" s="5"/>
      <c r="P61" s="6">
        <v>0</v>
      </c>
      <c r="Q61" s="150"/>
      <c r="S61" s="150"/>
    </row>
    <row r="94" spans="1:9" ht="12.75" customHeight="1">
      <c r="A94" s="91" t="s">
        <v>46</v>
      </c>
      <c r="B94" s="92"/>
      <c r="C94" s="92"/>
      <c r="D94" s="92"/>
      <c r="E94" s="92"/>
      <c r="F94" s="92"/>
      <c r="G94" s="92"/>
      <c r="H94" s="93"/>
      <c r="I94" s="8">
        <f>I24+I25</f>
        <v>230456.29536</v>
      </c>
    </row>
    <row r="95" spans="1:9" ht="12.75" customHeight="1">
      <c r="A95" s="88" t="s">
        <v>4</v>
      </c>
      <c r="B95" s="89"/>
      <c r="C95" s="89"/>
      <c r="D95" s="89"/>
      <c r="E95" s="89"/>
      <c r="F95" s="89"/>
      <c r="G95" s="89"/>
      <c r="H95" s="90"/>
      <c r="I95" s="14">
        <f>SUM(I11:I21)-I94</f>
        <v>1009762.83264</v>
      </c>
    </row>
    <row r="96" spans="1:9" ht="12.75" customHeight="1">
      <c r="A96" s="85" t="s">
        <v>5</v>
      </c>
      <c r="B96" s="86"/>
      <c r="C96" s="86"/>
      <c r="D96" s="86"/>
      <c r="E96" s="86"/>
      <c r="F96" s="86"/>
      <c r="G96" s="86"/>
      <c r="H96" s="87"/>
      <c r="I96" s="6">
        <v>5.79</v>
      </c>
    </row>
    <row r="97" spans="1:9" ht="12.75" customHeight="1">
      <c r="A97" s="85" t="s">
        <v>101</v>
      </c>
      <c r="B97" s="86"/>
      <c r="C97" s="86"/>
      <c r="D97" s="86"/>
      <c r="E97" s="86"/>
      <c r="F97" s="86"/>
      <c r="G97" s="86"/>
      <c r="H97" s="87"/>
      <c r="I97" s="6">
        <v>0.53</v>
      </c>
    </row>
    <row r="98" spans="1:9" ht="12.75" customHeight="1">
      <c r="A98" s="85" t="s">
        <v>102</v>
      </c>
      <c r="B98" s="86"/>
      <c r="C98" s="86"/>
      <c r="D98" s="86"/>
      <c r="E98" s="86"/>
      <c r="F98" s="86"/>
      <c r="G98" s="86"/>
      <c r="H98" s="87"/>
      <c r="I98" s="6">
        <v>2.9</v>
      </c>
    </row>
    <row r="99" spans="1:9" ht="12.75" customHeight="1">
      <c r="A99" s="85" t="s">
        <v>103</v>
      </c>
      <c r="B99" s="86"/>
      <c r="C99" s="86"/>
      <c r="D99" s="86"/>
      <c r="E99" s="86"/>
      <c r="F99" s="86"/>
      <c r="G99" s="86"/>
      <c r="H99" s="87"/>
      <c r="I99" s="6">
        <v>2.19</v>
      </c>
    </row>
  </sheetData>
  <mergeCells count="69">
    <mergeCell ref="A99:H99"/>
    <mergeCell ref="A96:H96"/>
    <mergeCell ref="A95:H95"/>
    <mergeCell ref="A30:H30"/>
    <mergeCell ref="A31:H31"/>
    <mergeCell ref="A26:H26"/>
    <mergeCell ref="A27:H27"/>
    <mergeCell ref="A28:H28"/>
    <mergeCell ref="A29:H29"/>
    <mergeCell ref="A24:H24"/>
    <mergeCell ref="A22:H22"/>
    <mergeCell ref="A25:H25"/>
    <mergeCell ref="A51:H51"/>
    <mergeCell ref="A32:I32"/>
    <mergeCell ref="A33:H34"/>
    <mergeCell ref="I33:I34"/>
    <mergeCell ref="A20:H20"/>
    <mergeCell ref="A19:H19"/>
    <mergeCell ref="A21:H21"/>
    <mergeCell ref="A23:H23"/>
    <mergeCell ref="A1:B1"/>
    <mergeCell ref="A3:B3"/>
    <mergeCell ref="A9:H9"/>
    <mergeCell ref="A10:H10"/>
    <mergeCell ref="A11:H11"/>
    <mergeCell ref="A15:H15"/>
    <mergeCell ref="A16:H16"/>
    <mergeCell ref="A18:H18"/>
    <mergeCell ref="A17:H17"/>
    <mergeCell ref="A12:H12"/>
    <mergeCell ref="A13:H13"/>
    <mergeCell ref="A14:H14"/>
    <mergeCell ref="L3:P3"/>
    <mergeCell ref="L4:P4"/>
    <mergeCell ref="A6:P6"/>
    <mergeCell ref="A7:P7"/>
    <mergeCell ref="A97:H97"/>
    <mergeCell ref="A98:H98"/>
    <mergeCell ref="J33:J34"/>
    <mergeCell ref="K33:K34"/>
    <mergeCell ref="L33:O33"/>
    <mergeCell ref="P33:P34"/>
    <mergeCell ref="A39:H39"/>
    <mergeCell ref="A40:H40"/>
    <mergeCell ref="A41:H41"/>
    <mergeCell ref="A35:H35"/>
    <mergeCell ref="A36:H36"/>
    <mergeCell ref="A37:H37"/>
    <mergeCell ref="A38:H38"/>
    <mergeCell ref="A45:H45"/>
    <mergeCell ref="A55:H55"/>
    <mergeCell ref="A43:G43"/>
    <mergeCell ref="A49:H49"/>
    <mergeCell ref="A50:H50"/>
    <mergeCell ref="A54:H54"/>
    <mergeCell ref="A52:H52"/>
    <mergeCell ref="A53:H53"/>
    <mergeCell ref="A47:G47"/>
    <mergeCell ref="A48:H48"/>
    <mergeCell ref="A94:H94"/>
    <mergeCell ref="A58:H58"/>
    <mergeCell ref="A61:H61"/>
    <mergeCell ref="A59:H59"/>
    <mergeCell ref="A60:H60"/>
    <mergeCell ref="A46:H46"/>
    <mergeCell ref="A56:H56"/>
    <mergeCell ref="A57:H57"/>
    <mergeCell ref="A42:H42"/>
    <mergeCell ref="A44:H4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34">
      <selection activeCell="P44" sqref="P44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6.4*K30*12</f>
        <v>41802.24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K30*I23*12</f>
        <v>3461.7479999999996</v>
      </c>
    </row>
    <row r="13" spans="1:9" ht="1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K35*I24*12</f>
        <v>14304.203999999998</v>
      </c>
    </row>
    <row r="14" spans="1:9" ht="12" customHeight="1">
      <c r="A14" s="108" t="s">
        <v>38</v>
      </c>
      <c r="B14" s="108"/>
      <c r="C14" s="108"/>
      <c r="D14" s="108"/>
      <c r="E14" s="108"/>
      <c r="F14" s="108"/>
      <c r="G14" s="108"/>
      <c r="H14" s="108"/>
      <c r="I14" s="8"/>
    </row>
    <row r="15" spans="1:9" ht="13.5" customHeight="1">
      <c r="A15" s="109" t="s">
        <v>99</v>
      </c>
      <c r="B15" s="109"/>
      <c r="C15" s="109"/>
      <c r="D15" s="109"/>
      <c r="E15" s="109"/>
      <c r="F15" s="109"/>
      <c r="G15" s="109"/>
      <c r="H15" s="109"/>
      <c r="I15" s="6">
        <f>100*12</f>
        <v>1200</v>
      </c>
    </row>
    <row r="16" spans="1:9" ht="12" customHeight="1">
      <c r="A16" s="122" t="s">
        <v>42</v>
      </c>
      <c r="B16" s="122"/>
      <c r="C16" s="122"/>
      <c r="D16" s="122"/>
      <c r="E16" s="122"/>
      <c r="F16" s="122"/>
      <c r="G16" s="122"/>
      <c r="H16" s="122"/>
      <c r="I16" s="6">
        <f>SUM(I15:I15)</f>
        <v>1200</v>
      </c>
    </row>
    <row r="17" spans="1:9" ht="11.25" customHeight="1">
      <c r="A17" s="125" t="s">
        <v>43</v>
      </c>
      <c r="B17" s="126"/>
      <c r="C17" s="126"/>
      <c r="D17" s="126"/>
      <c r="E17" s="126"/>
      <c r="F17" s="126"/>
      <c r="G17" s="126"/>
      <c r="H17" s="127"/>
      <c r="I17" s="16"/>
    </row>
    <row r="18" spans="1:9" ht="12" customHeight="1">
      <c r="A18" s="119" t="s">
        <v>44</v>
      </c>
      <c r="B18" s="120"/>
      <c r="C18" s="120"/>
      <c r="D18" s="120"/>
      <c r="E18" s="120"/>
      <c r="F18" s="120"/>
      <c r="G18" s="120"/>
      <c r="H18" s="121"/>
      <c r="I18" s="19">
        <f>SUM(I11:I13)*12%</f>
        <v>7148.183039999999</v>
      </c>
    </row>
    <row r="19" spans="1:9" ht="12" customHeight="1">
      <c r="A19" s="119" t="s">
        <v>45</v>
      </c>
      <c r="B19" s="120"/>
      <c r="C19" s="120"/>
      <c r="D19" s="120"/>
      <c r="E19" s="120"/>
      <c r="F19" s="120"/>
      <c r="G19" s="120"/>
      <c r="H19" s="121"/>
      <c r="I19" s="8">
        <f>I16*27%</f>
        <v>324</v>
      </c>
    </row>
    <row r="20" spans="1:9" ht="12" customHeight="1">
      <c r="A20" s="91" t="s">
        <v>46</v>
      </c>
      <c r="B20" s="92"/>
      <c r="C20" s="92"/>
      <c r="D20" s="92"/>
      <c r="E20" s="92"/>
      <c r="F20" s="92"/>
      <c r="G20" s="92"/>
      <c r="H20" s="93"/>
      <c r="I20" s="8">
        <f>I18+I19</f>
        <v>7472.183039999999</v>
      </c>
    </row>
    <row r="21" spans="1:9" ht="13.5" customHeight="1">
      <c r="A21" s="124" t="s">
        <v>4</v>
      </c>
      <c r="B21" s="124"/>
      <c r="C21" s="124"/>
      <c r="D21" s="124"/>
      <c r="E21" s="124"/>
      <c r="F21" s="124"/>
      <c r="G21" s="124"/>
      <c r="H21" s="124"/>
      <c r="I21" s="14">
        <f>SUM(I11:I15)-I20</f>
        <v>53296.00896</v>
      </c>
    </row>
    <row r="22" spans="1:9" ht="21" customHeight="1">
      <c r="A22" s="62" t="s">
        <v>5</v>
      </c>
      <c r="B22" s="62"/>
      <c r="C22" s="62"/>
      <c r="D22" s="62"/>
      <c r="E22" s="62"/>
      <c r="F22" s="62"/>
      <c r="G22" s="62"/>
      <c r="H22" s="62"/>
      <c r="I22" s="6">
        <v>6.4</v>
      </c>
    </row>
    <row r="23" spans="1:9" ht="21" customHeight="1">
      <c r="A23" s="62" t="s">
        <v>101</v>
      </c>
      <c r="B23" s="62"/>
      <c r="C23" s="62"/>
      <c r="D23" s="62"/>
      <c r="E23" s="62"/>
      <c r="F23" s="62"/>
      <c r="G23" s="62"/>
      <c r="H23" s="62"/>
      <c r="I23" s="6">
        <v>0.53</v>
      </c>
    </row>
    <row r="24" spans="1:9" ht="21" customHeight="1">
      <c r="A24" s="62" t="s">
        <v>103</v>
      </c>
      <c r="B24" s="62"/>
      <c r="C24" s="62"/>
      <c r="D24" s="62"/>
      <c r="E24" s="62"/>
      <c r="F24" s="62"/>
      <c r="G24" s="62"/>
      <c r="H24" s="62"/>
      <c r="I24" s="6">
        <v>2.19</v>
      </c>
    </row>
    <row r="25" spans="1:9" ht="15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16" ht="15" customHeight="1">
      <c r="A26" s="101" t="s">
        <v>7</v>
      </c>
      <c r="B26" s="101"/>
      <c r="C26" s="101"/>
      <c r="D26" s="101"/>
      <c r="E26" s="101"/>
      <c r="F26" s="101"/>
      <c r="G26" s="101"/>
      <c r="H26" s="101"/>
      <c r="I26" s="102" t="s">
        <v>8</v>
      </c>
      <c r="J26" s="102" t="s">
        <v>9</v>
      </c>
      <c r="K26" s="102" t="s">
        <v>10</v>
      </c>
      <c r="L26" s="99" t="s">
        <v>11</v>
      </c>
      <c r="M26" s="99"/>
      <c r="N26" s="99"/>
      <c r="O26" s="100"/>
      <c r="P26" s="101" t="s">
        <v>16</v>
      </c>
    </row>
    <row r="27" spans="1:16" ht="18.75" customHeight="1">
      <c r="A27" s="101"/>
      <c r="B27" s="101"/>
      <c r="C27" s="101"/>
      <c r="D27" s="101"/>
      <c r="E27" s="101"/>
      <c r="F27" s="101"/>
      <c r="G27" s="101"/>
      <c r="H27" s="101"/>
      <c r="I27" s="103"/>
      <c r="J27" s="103"/>
      <c r="K27" s="103"/>
      <c r="L27" s="6" t="s">
        <v>12</v>
      </c>
      <c r="M27" s="6" t="s">
        <v>13</v>
      </c>
      <c r="N27" s="6" t="s">
        <v>14</v>
      </c>
      <c r="O27" s="6" t="s">
        <v>15</v>
      </c>
      <c r="P27" s="101"/>
    </row>
    <row r="28" spans="1:16" ht="15">
      <c r="A28" s="45" t="s">
        <v>17</v>
      </c>
      <c r="B28" s="46"/>
      <c r="C28" s="46"/>
      <c r="D28" s="46"/>
      <c r="E28" s="46"/>
      <c r="F28" s="46"/>
      <c r="G28" s="46"/>
      <c r="H28" s="47"/>
      <c r="I28" s="5"/>
      <c r="J28" s="2"/>
      <c r="K28" s="2"/>
      <c r="L28" s="6"/>
      <c r="M28" s="6"/>
      <c r="N28" s="6"/>
      <c r="O28" s="6"/>
      <c r="P28" s="2"/>
    </row>
    <row r="29" spans="1:16" ht="15">
      <c r="A29" s="48" t="s">
        <v>18</v>
      </c>
      <c r="B29" s="49"/>
      <c r="C29" s="49"/>
      <c r="D29" s="49"/>
      <c r="E29" s="49"/>
      <c r="F29" s="49"/>
      <c r="G29" s="49"/>
      <c r="H29" s="84"/>
      <c r="I29" s="5"/>
      <c r="J29" s="2"/>
      <c r="K29" s="2"/>
      <c r="L29" s="6">
        <f aca="true" t="shared" si="0" ref="L29:L35">P29/4</f>
        <v>375</v>
      </c>
      <c r="M29" s="6">
        <f aca="true" t="shared" si="1" ref="M29:M35">P29/4</f>
        <v>375</v>
      </c>
      <c r="N29" s="6">
        <f aca="true" t="shared" si="2" ref="N29:N35">P29/4</f>
        <v>375</v>
      </c>
      <c r="O29" s="6">
        <f aca="true" t="shared" si="3" ref="O29:O35">P29/4</f>
        <v>375</v>
      </c>
      <c r="P29" s="8">
        <v>1500</v>
      </c>
    </row>
    <row r="30" spans="1:18" ht="22.5">
      <c r="A30" s="48" t="s">
        <v>19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0.6</v>
      </c>
      <c r="K30" s="6">
        <v>544.3</v>
      </c>
      <c r="L30" s="8">
        <f t="shared" si="0"/>
        <v>979.74</v>
      </c>
      <c r="M30" s="8">
        <f t="shared" si="1"/>
        <v>979.74</v>
      </c>
      <c r="N30" s="8">
        <f t="shared" si="2"/>
        <v>979.74</v>
      </c>
      <c r="O30" s="8">
        <f t="shared" si="3"/>
        <v>979.74</v>
      </c>
      <c r="P30" s="8">
        <f>J30*K30*12</f>
        <v>3918.96</v>
      </c>
      <c r="R30" s="12"/>
    </row>
    <row r="31" spans="1:16" ht="22.5">
      <c r="A31" s="48" t="s">
        <v>20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1.13</v>
      </c>
      <c r="K31" s="6">
        <v>544.3</v>
      </c>
      <c r="L31" s="8">
        <f t="shared" si="0"/>
        <v>1845.1769999999997</v>
      </c>
      <c r="M31" s="8">
        <f t="shared" si="1"/>
        <v>1845.1769999999997</v>
      </c>
      <c r="N31" s="8">
        <f t="shared" si="2"/>
        <v>1845.1769999999997</v>
      </c>
      <c r="O31" s="8">
        <f t="shared" si="3"/>
        <v>1845.1769999999997</v>
      </c>
      <c r="P31" s="8">
        <f>K31*J31*12</f>
        <v>7380.707999999999</v>
      </c>
    </row>
    <row r="32" spans="1:16" ht="22.5">
      <c r="A32" s="48" t="s">
        <v>21</v>
      </c>
      <c r="B32" s="49"/>
      <c r="C32" s="49"/>
      <c r="D32" s="49"/>
      <c r="E32" s="49"/>
      <c r="F32" s="49"/>
      <c r="G32" s="49"/>
      <c r="H32" s="84"/>
      <c r="I32" s="4" t="s">
        <v>23</v>
      </c>
      <c r="J32" s="6">
        <v>0.47</v>
      </c>
      <c r="K32" s="6">
        <v>544.3</v>
      </c>
      <c r="L32" s="8">
        <f t="shared" si="0"/>
        <v>767.463</v>
      </c>
      <c r="M32" s="8">
        <f t="shared" si="1"/>
        <v>767.463</v>
      </c>
      <c r="N32" s="8">
        <f t="shared" si="2"/>
        <v>767.463</v>
      </c>
      <c r="O32" s="8">
        <f t="shared" si="3"/>
        <v>767.463</v>
      </c>
      <c r="P32" s="8">
        <f>K32*J32*12</f>
        <v>3069.852</v>
      </c>
    </row>
    <row r="33" spans="1:16" ht="21.75" customHeight="1">
      <c r="A33" s="85" t="s">
        <v>39</v>
      </c>
      <c r="B33" s="86"/>
      <c r="C33" s="86"/>
      <c r="D33" s="86"/>
      <c r="E33" s="86"/>
      <c r="F33" s="86"/>
      <c r="G33" s="86"/>
      <c r="H33" s="87"/>
      <c r="I33" s="4" t="s">
        <v>23</v>
      </c>
      <c r="J33" s="6"/>
      <c r="K33" s="6"/>
      <c r="L33" s="6">
        <f t="shared" si="0"/>
        <v>500</v>
      </c>
      <c r="M33" s="6">
        <f t="shared" si="1"/>
        <v>500</v>
      </c>
      <c r="N33" s="6">
        <f t="shared" si="2"/>
        <v>500</v>
      </c>
      <c r="O33" s="6">
        <f t="shared" si="3"/>
        <v>500</v>
      </c>
      <c r="P33" s="6">
        <v>2000</v>
      </c>
    </row>
    <row r="34" spans="1:16" ht="22.5">
      <c r="A34" s="48" t="s">
        <v>40</v>
      </c>
      <c r="B34" s="49"/>
      <c r="C34" s="49"/>
      <c r="D34" s="49"/>
      <c r="E34" s="49"/>
      <c r="F34" s="49"/>
      <c r="G34" s="49"/>
      <c r="H34" s="84"/>
      <c r="I34" s="4" t="s">
        <v>23</v>
      </c>
      <c r="J34" s="6">
        <v>1.2</v>
      </c>
      <c r="K34" s="6">
        <v>544.3</v>
      </c>
      <c r="L34" s="8">
        <f t="shared" si="0"/>
        <v>1959.48</v>
      </c>
      <c r="M34" s="8">
        <f t="shared" si="1"/>
        <v>1959.48</v>
      </c>
      <c r="N34" s="8">
        <f t="shared" si="2"/>
        <v>1959.48</v>
      </c>
      <c r="O34" s="8">
        <f t="shared" si="3"/>
        <v>1959.48</v>
      </c>
      <c r="P34" s="8">
        <f>J34*K34*12</f>
        <v>7837.92</v>
      </c>
    </row>
    <row r="35" spans="1:16" ht="22.5" customHeight="1">
      <c r="A35" s="48" t="s">
        <v>41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0.8</v>
      </c>
      <c r="K35" s="6">
        <v>544.3</v>
      </c>
      <c r="L35" s="8">
        <f t="shared" si="0"/>
        <v>1306.32</v>
      </c>
      <c r="M35" s="8">
        <f t="shared" si="1"/>
        <v>1306.32</v>
      </c>
      <c r="N35" s="8">
        <f t="shared" si="2"/>
        <v>1306.32</v>
      </c>
      <c r="O35" s="8">
        <f t="shared" si="3"/>
        <v>1306.32</v>
      </c>
      <c r="P35" s="8">
        <f>K35*J35*12</f>
        <v>5225.28</v>
      </c>
    </row>
    <row r="36" spans="1:16" ht="22.5" customHeight="1">
      <c r="A36" s="48" t="s">
        <v>47</v>
      </c>
      <c r="B36" s="49"/>
      <c r="C36" s="49"/>
      <c r="D36" s="49"/>
      <c r="E36" s="49"/>
      <c r="F36" s="49"/>
      <c r="G36" s="49"/>
      <c r="H36" s="17"/>
      <c r="I36" s="4" t="s">
        <v>24</v>
      </c>
      <c r="J36" s="6"/>
      <c r="K36" s="6"/>
      <c r="L36" s="6"/>
      <c r="M36" s="6"/>
      <c r="N36" s="6"/>
      <c r="O36" s="6"/>
      <c r="P36" s="8"/>
    </row>
    <row r="37" spans="1:16" ht="24" customHeight="1">
      <c r="A37" s="85" t="s">
        <v>48</v>
      </c>
      <c r="B37" s="86"/>
      <c r="C37" s="86"/>
      <c r="D37" s="86"/>
      <c r="E37" s="86"/>
      <c r="F37" s="86"/>
      <c r="G37" s="86"/>
      <c r="H37" s="87"/>
      <c r="I37" s="5"/>
      <c r="J37" s="6"/>
      <c r="K37" s="2"/>
      <c r="L37" s="8">
        <f>P37/4</f>
        <v>802.5</v>
      </c>
      <c r="M37" s="8">
        <f>P37/4</f>
        <v>802.5</v>
      </c>
      <c r="N37" s="8">
        <f>P37/4</f>
        <v>802.5</v>
      </c>
      <c r="O37" s="8">
        <f>P37/4</f>
        <v>802.5</v>
      </c>
      <c r="P37" s="8">
        <v>3210</v>
      </c>
    </row>
    <row r="38" spans="1:18" ht="15">
      <c r="A38" s="48" t="s">
        <v>49</v>
      </c>
      <c r="B38" s="49"/>
      <c r="C38" s="49"/>
      <c r="D38" s="49"/>
      <c r="E38" s="49"/>
      <c r="F38" s="49"/>
      <c r="G38" s="49"/>
      <c r="H38" s="84"/>
      <c r="I38" s="6" t="s">
        <v>25</v>
      </c>
      <c r="J38" s="6">
        <v>1</v>
      </c>
      <c r="K38" s="6"/>
      <c r="L38" s="6"/>
      <c r="M38" s="8">
        <f>P38/2</f>
        <v>0</v>
      </c>
      <c r="N38" s="6"/>
      <c r="O38" s="8"/>
      <c r="P38" s="8">
        <f>K38*J38</f>
        <v>0</v>
      </c>
      <c r="R38" s="12"/>
    </row>
    <row r="39" spans="1:18" ht="15">
      <c r="A39" s="45" t="s">
        <v>107</v>
      </c>
      <c r="B39" s="46"/>
      <c r="C39" s="46"/>
      <c r="D39" s="46"/>
      <c r="E39" s="46"/>
      <c r="F39" s="46"/>
      <c r="G39" s="46"/>
      <c r="H39" s="47"/>
      <c r="I39" s="6"/>
      <c r="J39" s="6"/>
      <c r="K39" s="6"/>
      <c r="L39" s="6"/>
      <c r="M39" s="8"/>
      <c r="N39" s="6"/>
      <c r="O39" s="8"/>
      <c r="P39" s="8"/>
      <c r="R39" s="12"/>
    </row>
    <row r="40" spans="1:18" ht="22.5">
      <c r="A40" s="48" t="s">
        <v>108</v>
      </c>
      <c r="B40" s="49"/>
      <c r="C40" s="49"/>
      <c r="D40" s="49"/>
      <c r="E40" s="49"/>
      <c r="F40" s="49"/>
      <c r="G40" s="49"/>
      <c r="H40" s="84"/>
      <c r="I40" s="4" t="s">
        <v>23</v>
      </c>
      <c r="J40" s="6">
        <v>0.48</v>
      </c>
      <c r="K40" s="6">
        <v>544.3</v>
      </c>
      <c r="L40" s="8">
        <f>P40/4</f>
        <v>783.7919999999999</v>
      </c>
      <c r="M40" s="8">
        <f>P40/4</f>
        <v>783.7919999999999</v>
      </c>
      <c r="N40" s="8">
        <f>P40/4</f>
        <v>783.7919999999999</v>
      </c>
      <c r="O40" s="8">
        <f>P40/4</f>
        <v>783.7919999999999</v>
      </c>
      <c r="P40" s="8">
        <f>K40*J40*12</f>
        <v>3135.1679999999997</v>
      </c>
      <c r="R40" s="12"/>
    </row>
    <row r="41" spans="1:18" ht="15">
      <c r="A41" s="45" t="s">
        <v>117</v>
      </c>
      <c r="B41" s="46"/>
      <c r="C41" s="46"/>
      <c r="D41" s="46"/>
      <c r="E41" s="46"/>
      <c r="F41" s="46"/>
      <c r="G41" s="46"/>
      <c r="H41" s="47"/>
      <c r="I41" s="4"/>
      <c r="J41" s="6"/>
      <c r="K41" s="6"/>
      <c r="L41" s="8"/>
      <c r="M41" s="8"/>
      <c r="N41" s="8"/>
      <c r="O41" s="8"/>
      <c r="P41" s="8"/>
      <c r="R41" s="12"/>
    </row>
    <row r="42" spans="1:18" ht="22.5">
      <c r="A42" s="48" t="s">
        <v>118</v>
      </c>
      <c r="B42" s="49"/>
      <c r="C42" s="49"/>
      <c r="D42" s="49"/>
      <c r="E42" s="49"/>
      <c r="F42" s="49"/>
      <c r="G42" s="49"/>
      <c r="H42" s="84"/>
      <c r="I42" s="4" t="s">
        <v>23</v>
      </c>
      <c r="J42" s="6">
        <v>1.9</v>
      </c>
      <c r="K42" s="6">
        <v>544.3</v>
      </c>
      <c r="L42" s="8">
        <f>P42/4</f>
        <v>3102.5099999999993</v>
      </c>
      <c r="M42" s="8">
        <f>P42/4</f>
        <v>3102.5099999999993</v>
      </c>
      <c r="N42" s="8">
        <f>P42/4</f>
        <v>3102.5099999999993</v>
      </c>
      <c r="O42" s="8">
        <f>P42/4</f>
        <v>3102.5099999999993</v>
      </c>
      <c r="P42" s="8">
        <f>K42*J42*12</f>
        <v>12410.039999999997</v>
      </c>
      <c r="R42" s="12"/>
    </row>
    <row r="43" spans="1:16" ht="15">
      <c r="A43" s="45" t="s">
        <v>119</v>
      </c>
      <c r="B43" s="46"/>
      <c r="C43" s="46"/>
      <c r="D43" s="46"/>
      <c r="E43" s="46"/>
      <c r="F43" s="46"/>
      <c r="G43" s="46"/>
      <c r="H43" s="47"/>
      <c r="I43" s="5"/>
      <c r="J43" s="6"/>
      <c r="K43" s="2"/>
      <c r="L43" s="2"/>
      <c r="M43" s="2"/>
      <c r="N43" s="2"/>
      <c r="O43" s="2"/>
      <c r="P43" s="6"/>
    </row>
    <row r="44" spans="1:16" ht="21" customHeight="1">
      <c r="A44" s="85" t="s">
        <v>120</v>
      </c>
      <c r="B44" s="86"/>
      <c r="C44" s="86"/>
      <c r="D44" s="86"/>
      <c r="E44" s="86"/>
      <c r="F44" s="86"/>
      <c r="G44" s="86"/>
      <c r="H44" s="87"/>
      <c r="I44" s="2"/>
      <c r="J44" s="6"/>
      <c r="K44" s="2"/>
      <c r="L44" s="8">
        <f>P44/4</f>
        <v>783.75</v>
      </c>
      <c r="M44" s="8">
        <f>P44/4</f>
        <v>783.75</v>
      </c>
      <c r="N44" s="8">
        <f>P44/4</f>
        <v>783.75</v>
      </c>
      <c r="O44" s="8">
        <f>P44/4</f>
        <v>783.75</v>
      </c>
      <c r="P44" s="8">
        <v>3135</v>
      </c>
    </row>
    <row r="45" spans="1:16" ht="15" customHeight="1">
      <c r="A45" s="85" t="s">
        <v>121</v>
      </c>
      <c r="B45" s="86"/>
      <c r="C45" s="86"/>
      <c r="D45" s="86"/>
      <c r="E45" s="86"/>
      <c r="F45" s="86"/>
      <c r="G45" s="86"/>
      <c r="H45" s="87"/>
      <c r="I45" s="6" t="s">
        <v>27</v>
      </c>
      <c r="J45" s="6">
        <v>3.94</v>
      </c>
      <c r="K45" s="6">
        <v>10</v>
      </c>
      <c r="L45" s="8">
        <f>J45*K45*3</f>
        <v>118.19999999999999</v>
      </c>
      <c r="M45" s="8">
        <f>L45</f>
        <v>118.19999999999999</v>
      </c>
      <c r="N45" s="8">
        <f>M45</f>
        <v>118.19999999999999</v>
      </c>
      <c r="O45" s="8">
        <f>N45</f>
        <v>118.19999999999999</v>
      </c>
      <c r="P45" s="8">
        <f>J45*K45*12</f>
        <v>472.79999999999995</v>
      </c>
    </row>
    <row r="46" spans="1:17" ht="15">
      <c r="A46" s="45" t="s">
        <v>28</v>
      </c>
      <c r="B46" s="46"/>
      <c r="C46" s="46"/>
      <c r="D46" s="46"/>
      <c r="E46" s="46"/>
      <c r="F46" s="46"/>
      <c r="G46" s="46"/>
      <c r="H46" s="47"/>
      <c r="I46" s="2"/>
      <c r="J46" s="6"/>
      <c r="K46" s="2"/>
      <c r="L46" s="14">
        <f>SUM(L29:L45)</f>
        <v>13323.931999999997</v>
      </c>
      <c r="M46" s="14">
        <f>SUM(M29:M45)</f>
        <v>13323.931999999997</v>
      </c>
      <c r="N46" s="14">
        <f>SUM(N29:N45)</f>
        <v>13323.931999999997</v>
      </c>
      <c r="O46" s="14">
        <f>SUM(O29:O45)</f>
        <v>13323.931999999997</v>
      </c>
      <c r="P46" s="14">
        <f>SUM(P29:P45)</f>
        <v>53295.72799999999</v>
      </c>
      <c r="Q46" s="15"/>
    </row>
    <row r="47" spans="1:16" ht="15" customHeight="1">
      <c r="A47" s="85" t="s">
        <v>123</v>
      </c>
      <c r="B47" s="86"/>
      <c r="C47" s="86"/>
      <c r="D47" s="86"/>
      <c r="E47" s="86"/>
      <c r="F47" s="86"/>
      <c r="G47" s="86"/>
      <c r="H47" s="87"/>
      <c r="I47" s="2"/>
      <c r="J47" s="6"/>
      <c r="K47" s="2"/>
      <c r="L47" s="13"/>
      <c r="M47" s="13"/>
      <c r="N47" s="13"/>
      <c r="O47" s="13"/>
      <c r="P47" s="8">
        <f>I20</f>
        <v>7472.183039999999</v>
      </c>
    </row>
    <row r="48" spans="1:16" ht="15" customHeight="1">
      <c r="A48" s="88" t="s">
        <v>29</v>
      </c>
      <c r="B48" s="89"/>
      <c r="C48" s="89"/>
      <c r="D48" s="89"/>
      <c r="E48" s="89"/>
      <c r="F48" s="89"/>
      <c r="G48" s="89"/>
      <c r="H48" s="90"/>
      <c r="I48" s="2"/>
      <c r="J48" s="6"/>
      <c r="K48" s="2"/>
      <c r="L48" s="13"/>
      <c r="M48" s="13"/>
      <c r="N48" s="13"/>
      <c r="O48" s="13"/>
      <c r="P48" s="14">
        <f>P46+P47</f>
        <v>60767.911039999984</v>
      </c>
    </row>
    <row r="49" spans="1:19" ht="15">
      <c r="A49" s="48" t="s">
        <v>30</v>
      </c>
      <c r="B49" s="49"/>
      <c r="C49" s="49"/>
      <c r="D49" s="49"/>
      <c r="E49" s="49"/>
      <c r="F49" s="49"/>
      <c r="G49" s="49"/>
      <c r="H49" s="84"/>
      <c r="I49" s="2"/>
      <c r="J49" s="6"/>
      <c r="K49" s="2"/>
      <c r="L49" s="2"/>
      <c r="M49" s="2"/>
      <c r="N49" s="2"/>
      <c r="O49" s="2"/>
      <c r="P49" s="6">
        <v>0</v>
      </c>
      <c r="Q49" s="15"/>
      <c r="S49" s="15"/>
    </row>
  </sheetData>
  <mergeCells count="51">
    <mergeCell ref="A46:H46"/>
    <mergeCell ref="A47:H47"/>
    <mergeCell ref="A48:H48"/>
    <mergeCell ref="A49:H49"/>
    <mergeCell ref="A38:H38"/>
    <mergeCell ref="A43:H43"/>
    <mergeCell ref="A44:H44"/>
    <mergeCell ref="A45:H45"/>
    <mergeCell ref="A39:H39"/>
    <mergeCell ref="A40:H40"/>
    <mergeCell ref="A41:H41"/>
    <mergeCell ref="A42:H42"/>
    <mergeCell ref="A34:H34"/>
    <mergeCell ref="A35:H35"/>
    <mergeCell ref="A36:G36"/>
    <mergeCell ref="A37:H37"/>
    <mergeCell ref="A30:H30"/>
    <mergeCell ref="A31:H31"/>
    <mergeCell ref="A32:H32"/>
    <mergeCell ref="A33:H33"/>
    <mergeCell ref="A29:H29"/>
    <mergeCell ref="A26:H27"/>
    <mergeCell ref="I26:I27"/>
    <mergeCell ref="J26:J27"/>
    <mergeCell ref="A20:H20"/>
    <mergeCell ref="L26:O26"/>
    <mergeCell ref="P26:P27"/>
    <mergeCell ref="A28:H28"/>
    <mergeCell ref="K26:K27"/>
    <mergeCell ref="A21:H21"/>
    <mergeCell ref="A22:H22"/>
    <mergeCell ref="A25:I25"/>
    <mergeCell ref="A23:H23"/>
    <mergeCell ref="A24:H24"/>
    <mergeCell ref="A16:H16"/>
    <mergeCell ref="A18:H18"/>
    <mergeCell ref="A17:H17"/>
    <mergeCell ref="A19:H19"/>
    <mergeCell ref="A11:H11"/>
    <mergeCell ref="A14:H14"/>
    <mergeCell ref="A15:H15"/>
    <mergeCell ref="A6:P6"/>
    <mergeCell ref="A7:P7"/>
    <mergeCell ref="A9:H9"/>
    <mergeCell ref="A10:H10"/>
    <mergeCell ref="A12:H12"/>
    <mergeCell ref="A13:H13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28">
      <selection activeCell="P44" sqref="P44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69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6.4*K30*12</f>
        <v>28692.480000000003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K30*I23*12</f>
        <v>2376.096</v>
      </c>
    </row>
    <row r="13" spans="1:9" ht="18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K35*I24*12</f>
        <v>9818.208</v>
      </c>
    </row>
    <row r="14" spans="1:9" ht="12" customHeight="1">
      <c r="A14" s="108" t="s">
        <v>38</v>
      </c>
      <c r="B14" s="108"/>
      <c r="C14" s="108"/>
      <c r="D14" s="108"/>
      <c r="E14" s="108"/>
      <c r="F14" s="108"/>
      <c r="G14" s="108"/>
      <c r="H14" s="108"/>
      <c r="I14" s="8"/>
    </row>
    <row r="15" spans="1:9" ht="13.5" customHeight="1">
      <c r="A15" s="109" t="s">
        <v>99</v>
      </c>
      <c r="B15" s="109"/>
      <c r="C15" s="109"/>
      <c r="D15" s="109"/>
      <c r="E15" s="109"/>
      <c r="F15" s="109"/>
      <c r="G15" s="109"/>
      <c r="H15" s="109"/>
      <c r="I15" s="6">
        <f>100*12</f>
        <v>1200</v>
      </c>
    </row>
    <row r="16" spans="1:9" ht="12" customHeight="1">
      <c r="A16" s="122" t="s">
        <v>42</v>
      </c>
      <c r="B16" s="122"/>
      <c r="C16" s="122"/>
      <c r="D16" s="122"/>
      <c r="E16" s="122"/>
      <c r="F16" s="122"/>
      <c r="G16" s="122"/>
      <c r="H16" s="122"/>
      <c r="I16" s="6">
        <f>SUM(I15:I15)</f>
        <v>1200</v>
      </c>
    </row>
    <row r="17" spans="1:9" ht="12" customHeight="1">
      <c r="A17" s="125" t="s">
        <v>43</v>
      </c>
      <c r="B17" s="126"/>
      <c r="C17" s="126"/>
      <c r="D17" s="126"/>
      <c r="E17" s="126"/>
      <c r="F17" s="126"/>
      <c r="G17" s="126"/>
      <c r="H17" s="127"/>
      <c r="I17" s="16"/>
    </row>
    <row r="18" spans="1:9" ht="11.25" customHeight="1">
      <c r="A18" s="119" t="s">
        <v>44</v>
      </c>
      <c r="B18" s="120"/>
      <c r="C18" s="120"/>
      <c r="D18" s="120"/>
      <c r="E18" s="120"/>
      <c r="F18" s="120"/>
      <c r="G18" s="120"/>
      <c r="H18" s="121"/>
      <c r="I18" s="19">
        <f>SUM(I11:I13)*12%</f>
        <v>4906.4140800000005</v>
      </c>
    </row>
    <row r="19" spans="1:9" ht="12" customHeight="1">
      <c r="A19" s="119" t="s">
        <v>45</v>
      </c>
      <c r="B19" s="120"/>
      <c r="C19" s="120"/>
      <c r="D19" s="120"/>
      <c r="E19" s="120"/>
      <c r="F19" s="120"/>
      <c r="G19" s="120"/>
      <c r="H19" s="121"/>
      <c r="I19" s="8">
        <f>I16*27%</f>
        <v>324</v>
      </c>
    </row>
    <row r="20" spans="1:9" ht="12" customHeight="1">
      <c r="A20" s="91" t="s">
        <v>46</v>
      </c>
      <c r="B20" s="92"/>
      <c r="C20" s="92"/>
      <c r="D20" s="92"/>
      <c r="E20" s="92"/>
      <c r="F20" s="92"/>
      <c r="G20" s="92"/>
      <c r="H20" s="93"/>
      <c r="I20" s="8">
        <f>I18+I19</f>
        <v>5230.4140800000005</v>
      </c>
    </row>
    <row r="21" spans="1:9" ht="13.5" customHeight="1">
      <c r="A21" s="124" t="s">
        <v>4</v>
      </c>
      <c r="B21" s="124"/>
      <c r="C21" s="124"/>
      <c r="D21" s="124"/>
      <c r="E21" s="124"/>
      <c r="F21" s="124"/>
      <c r="G21" s="124"/>
      <c r="H21" s="124"/>
      <c r="I21" s="14">
        <f>SUM(I11:I15)-I20</f>
        <v>36856.369920000005</v>
      </c>
    </row>
    <row r="22" spans="1:9" ht="21" customHeight="1">
      <c r="A22" s="62" t="s">
        <v>5</v>
      </c>
      <c r="B22" s="62"/>
      <c r="C22" s="62"/>
      <c r="D22" s="62"/>
      <c r="E22" s="62"/>
      <c r="F22" s="62"/>
      <c r="G22" s="62"/>
      <c r="H22" s="62"/>
      <c r="I22" s="6">
        <v>6.4</v>
      </c>
    </row>
    <row r="23" spans="1:9" ht="21" customHeight="1">
      <c r="A23" s="62" t="s">
        <v>101</v>
      </c>
      <c r="B23" s="62"/>
      <c r="C23" s="62"/>
      <c r="D23" s="62"/>
      <c r="E23" s="62"/>
      <c r="F23" s="62"/>
      <c r="G23" s="62"/>
      <c r="H23" s="62"/>
      <c r="I23" s="6">
        <v>0.53</v>
      </c>
    </row>
    <row r="24" spans="1:9" ht="21" customHeight="1">
      <c r="A24" s="62" t="s">
        <v>103</v>
      </c>
      <c r="B24" s="62"/>
      <c r="C24" s="62"/>
      <c r="D24" s="62"/>
      <c r="E24" s="62"/>
      <c r="F24" s="62"/>
      <c r="G24" s="62"/>
      <c r="H24" s="62"/>
      <c r="I24" s="6">
        <v>2.19</v>
      </c>
    </row>
    <row r="25" spans="1:9" ht="15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16" ht="15" customHeight="1">
      <c r="A26" s="101" t="s">
        <v>7</v>
      </c>
      <c r="B26" s="101"/>
      <c r="C26" s="101"/>
      <c r="D26" s="101"/>
      <c r="E26" s="101"/>
      <c r="F26" s="101"/>
      <c r="G26" s="101"/>
      <c r="H26" s="101"/>
      <c r="I26" s="102" t="s">
        <v>8</v>
      </c>
      <c r="J26" s="102" t="s">
        <v>9</v>
      </c>
      <c r="K26" s="102" t="s">
        <v>10</v>
      </c>
      <c r="L26" s="99" t="s">
        <v>11</v>
      </c>
      <c r="M26" s="99"/>
      <c r="N26" s="99"/>
      <c r="O26" s="100"/>
      <c r="P26" s="101" t="s">
        <v>16</v>
      </c>
    </row>
    <row r="27" spans="1:16" ht="18.75" customHeight="1">
      <c r="A27" s="101"/>
      <c r="B27" s="101"/>
      <c r="C27" s="101"/>
      <c r="D27" s="101"/>
      <c r="E27" s="101"/>
      <c r="F27" s="101"/>
      <c r="G27" s="101"/>
      <c r="H27" s="101"/>
      <c r="I27" s="103"/>
      <c r="J27" s="103"/>
      <c r="K27" s="103"/>
      <c r="L27" s="6" t="s">
        <v>12</v>
      </c>
      <c r="M27" s="6" t="s">
        <v>13</v>
      </c>
      <c r="N27" s="6" t="s">
        <v>14</v>
      </c>
      <c r="O27" s="6" t="s">
        <v>15</v>
      </c>
      <c r="P27" s="101"/>
    </row>
    <row r="28" spans="1:16" ht="15">
      <c r="A28" s="45" t="s">
        <v>17</v>
      </c>
      <c r="B28" s="46"/>
      <c r="C28" s="46"/>
      <c r="D28" s="46"/>
      <c r="E28" s="46"/>
      <c r="F28" s="46"/>
      <c r="G28" s="46"/>
      <c r="H28" s="47"/>
      <c r="I28" s="5"/>
      <c r="J28" s="2"/>
      <c r="K28" s="2"/>
      <c r="L28" s="6"/>
      <c r="M28" s="6"/>
      <c r="N28" s="6"/>
      <c r="O28" s="6"/>
      <c r="P28" s="2"/>
    </row>
    <row r="29" spans="1:16" ht="15">
      <c r="A29" s="48" t="s">
        <v>18</v>
      </c>
      <c r="B29" s="49"/>
      <c r="C29" s="49"/>
      <c r="D29" s="49"/>
      <c r="E29" s="49"/>
      <c r="F29" s="49"/>
      <c r="G29" s="49"/>
      <c r="H29" s="84"/>
      <c r="I29" s="5"/>
      <c r="J29" s="2"/>
      <c r="K29" s="2"/>
      <c r="L29" s="6">
        <f aca="true" t="shared" si="0" ref="L29:L35">P29/4</f>
        <v>200</v>
      </c>
      <c r="M29" s="6">
        <f aca="true" t="shared" si="1" ref="M29:M35">P29/4</f>
        <v>200</v>
      </c>
      <c r="N29" s="6">
        <f aca="true" t="shared" si="2" ref="N29:N35">P29/4</f>
        <v>200</v>
      </c>
      <c r="O29" s="6">
        <f aca="true" t="shared" si="3" ref="O29:O35">P29/4</f>
        <v>200</v>
      </c>
      <c r="P29" s="8">
        <v>800</v>
      </c>
    </row>
    <row r="30" spans="1:18" ht="22.5">
      <c r="A30" s="48" t="s">
        <v>19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0.6</v>
      </c>
      <c r="K30" s="6">
        <v>373.6</v>
      </c>
      <c r="L30" s="8">
        <f t="shared" si="0"/>
        <v>672.48</v>
      </c>
      <c r="M30" s="8">
        <f t="shared" si="1"/>
        <v>672.48</v>
      </c>
      <c r="N30" s="8">
        <f t="shared" si="2"/>
        <v>672.48</v>
      </c>
      <c r="O30" s="8">
        <f t="shared" si="3"/>
        <v>672.48</v>
      </c>
      <c r="P30" s="8">
        <f>J30*K30*12</f>
        <v>2689.92</v>
      </c>
      <c r="R30" s="12"/>
    </row>
    <row r="31" spans="1:16" ht="22.5">
      <c r="A31" s="48" t="s">
        <v>20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1.13</v>
      </c>
      <c r="K31" s="6">
        <v>373.6</v>
      </c>
      <c r="L31" s="8">
        <f t="shared" si="0"/>
        <v>1266.504</v>
      </c>
      <c r="M31" s="8">
        <f t="shared" si="1"/>
        <v>1266.504</v>
      </c>
      <c r="N31" s="8">
        <f t="shared" si="2"/>
        <v>1266.504</v>
      </c>
      <c r="O31" s="8">
        <f t="shared" si="3"/>
        <v>1266.504</v>
      </c>
      <c r="P31" s="8">
        <f>K31*J31*12</f>
        <v>5066.016</v>
      </c>
    </row>
    <row r="32" spans="1:16" ht="22.5">
      <c r="A32" s="48" t="s">
        <v>21</v>
      </c>
      <c r="B32" s="49"/>
      <c r="C32" s="49"/>
      <c r="D32" s="49"/>
      <c r="E32" s="49"/>
      <c r="F32" s="49"/>
      <c r="G32" s="49"/>
      <c r="H32" s="84"/>
      <c r="I32" s="4" t="s">
        <v>23</v>
      </c>
      <c r="J32" s="6">
        <v>0.47</v>
      </c>
      <c r="K32" s="6">
        <v>373.6</v>
      </c>
      <c r="L32" s="8">
        <f t="shared" si="0"/>
        <v>526.7760000000001</v>
      </c>
      <c r="M32" s="8">
        <f t="shared" si="1"/>
        <v>526.7760000000001</v>
      </c>
      <c r="N32" s="8">
        <f t="shared" si="2"/>
        <v>526.7760000000001</v>
      </c>
      <c r="O32" s="8">
        <f t="shared" si="3"/>
        <v>526.7760000000001</v>
      </c>
      <c r="P32" s="8">
        <f>K32*J32*12</f>
        <v>2107.1040000000003</v>
      </c>
    </row>
    <row r="33" spans="1:16" ht="21.75" customHeight="1">
      <c r="A33" s="85" t="s">
        <v>39</v>
      </c>
      <c r="B33" s="86"/>
      <c r="C33" s="86"/>
      <c r="D33" s="86"/>
      <c r="E33" s="86"/>
      <c r="F33" s="86"/>
      <c r="G33" s="86"/>
      <c r="H33" s="87"/>
      <c r="I33" s="4" t="s">
        <v>23</v>
      </c>
      <c r="J33" s="6"/>
      <c r="K33" s="6"/>
      <c r="L33" s="6">
        <f t="shared" si="0"/>
        <v>250</v>
      </c>
      <c r="M33" s="6">
        <f t="shared" si="1"/>
        <v>250</v>
      </c>
      <c r="N33" s="6">
        <f t="shared" si="2"/>
        <v>250</v>
      </c>
      <c r="O33" s="6">
        <f t="shared" si="3"/>
        <v>250</v>
      </c>
      <c r="P33" s="6">
        <v>1000</v>
      </c>
    </row>
    <row r="34" spans="1:16" ht="22.5">
      <c r="A34" s="48" t="s">
        <v>40</v>
      </c>
      <c r="B34" s="49"/>
      <c r="C34" s="49"/>
      <c r="D34" s="49"/>
      <c r="E34" s="49"/>
      <c r="F34" s="49"/>
      <c r="G34" s="49"/>
      <c r="H34" s="84"/>
      <c r="I34" s="4" t="s">
        <v>23</v>
      </c>
      <c r="J34" s="6">
        <v>1.2</v>
      </c>
      <c r="K34" s="6">
        <v>373.6</v>
      </c>
      <c r="L34" s="8">
        <f t="shared" si="0"/>
        <v>1344.96</v>
      </c>
      <c r="M34" s="8">
        <f t="shared" si="1"/>
        <v>1344.96</v>
      </c>
      <c r="N34" s="8">
        <f t="shared" si="2"/>
        <v>1344.96</v>
      </c>
      <c r="O34" s="8">
        <f t="shared" si="3"/>
        <v>1344.96</v>
      </c>
      <c r="P34" s="8">
        <f>J34*K34*12</f>
        <v>5379.84</v>
      </c>
    </row>
    <row r="35" spans="1:16" ht="22.5" customHeight="1">
      <c r="A35" s="48" t="s">
        <v>41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0.8</v>
      </c>
      <c r="K35" s="6">
        <v>373.6</v>
      </c>
      <c r="L35" s="8">
        <f t="shared" si="0"/>
        <v>896.6400000000001</v>
      </c>
      <c r="M35" s="8">
        <f t="shared" si="1"/>
        <v>896.6400000000001</v>
      </c>
      <c r="N35" s="8">
        <f t="shared" si="2"/>
        <v>896.6400000000001</v>
      </c>
      <c r="O35" s="8">
        <f t="shared" si="3"/>
        <v>896.6400000000001</v>
      </c>
      <c r="P35" s="8">
        <f>K35*J35*12</f>
        <v>3586.5600000000004</v>
      </c>
    </row>
    <row r="36" spans="1:16" ht="22.5" customHeight="1">
      <c r="A36" s="48" t="s">
        <v>47</v>
      </c>
      <c r="B36" s="49"/>
      <c r="C36" s="49"/>
      <c r="D36" s="49"/>
      <c r="E36" s="49"/>
      <c r="F36" s="49"/>
      <c r="G36" s="49"/>
      <c r="H36" s="17"/>
      <c r="I36" s="4" t="s">
        <v>24</v>
      </c>
      <c r="J36" s="6"/>
      <c r="K36" s="6"/>
      <c r="L36" s="6"/>
      <c r="M36" s="6"/>
      <c r="N36" s="6"/>
      <c r="O36" s="6"/>
      <c r="P36" s="8"/>
    </row>
    <row r="37" spans="1:16" ht="24" customHeight="1">
      <c r="A37" s="85" t="s">
        <v>48</v>
      </c>
      <c r="B37" s="86"/>
      <c r="C37" s="86"/>
      <c r="D37" s="86"/>
      <c r="E37" s="86"/>
      <c r="F37" s="86"/>
      <c r="G37" s="86"/>
      <c r="H37" s="87"/>
      <c r="I37" s="5"/>
      <c r="J37" s="6"/>
      <c r="K37" s="2"/>
      <c r="L37" s="8">
        <f>P37/4</f>
        <v>756.5</v>
      </c>
      <c r="M37" s="8">
        <f>P37/4</f>
        <v>756.5</v>
      </c>
      <c r="N37" s="8">
        <f>P37/4</f>
        <v>756.5</v>
      </c>
      <c r="O37" s="8">
        <f>P37/4</f>
        <v>756.5</v>
      </c>
      <c r="P37" s="8">
        <v>3026</v>
      </c>
    </row>
    <row r="38" spans="1:18" ht="15">
      <c r="A38" s="48" t="s">
        <v>49</v>
      </c>
      <c r="B38" s="49"/>
      <c r="C38" s="49"/>
      <c r="D38" s="49"/>
      <c r="E38" s="49"/>
      <c r="F38" s="49"/>
      <c r="G38" s="49"/>
      <c r="H38" s="84"/>
      <c r="I38" s="6" t="s">
        <v>25</v>
      </c>
      <c r="J38" s="6">
        <v>1</v>
      </c>
      <c r="K38" s="6"/>
      <c r="L38" s="6"/>
      <c r="M38" s="8">
        <f>P38/2</f>
        <v>0</v>
      </c>
      <c r="N38" s="6"/>
      <c r="O38" s="8"/>
      <c r="P38" s="8">
        <f>K38*J38</f>
        <v>0</v>
      </c>
      <c r="R38" s="12"/>
    </row>
    <row r="39" spans="1:18" ht="15">
      <c r="A39" s="45" t="s">
        <v>107</v>
      </c>
      <c r="B39" s="46"/>
      <c r="C39" s="46"/>
      <c r="D39" s="46"/>
      <c r="E39" s="46"/>
      <c r="F39" s="46"/>
      <c r="G39" s="46"/>
      <c r="H39" s="47"/>
      <c r="I39" s="6"/>
      <c r="J39" s="6"/>
      <c r="K39" s="6"/>
      <c r="L39" s="6"/>
      <c r="M39" s="8"/>
      <c r="N39" s="6"/>
      <c r="O39" s="8"/>
      <c r="P39" s="8"/>
      <c r="R39" s="12"/>
    </row>
    <row r="40" spans="1:18" ht="22.5">
      <c r="A40" s="48" t="s">
        <v>108</v>
      </c>
      <c r="B40" s="49"/>
      <c r="C40" s="49"/>
      <c r="D40" s="49"/>
      <c r="E40" s="49"/>
      <c r="F40" s="49"/>
      <c r="G40" s="49"/>
      <c r="H40" s="84"/>
      <c r="I40" s="4" t="s">
        <v>23</v>
      </c>
      <c r="J40" s="6">
        <v>0.48</v>
      </c>
      <c r="K40" s="6">
        <v>373.6</v>
      </c>
      <c r="L40" s="8">
        <f>P40/4</f>
        <v>537.984</v>
      </c>
      <c r="M40" s="8">
        <f>P40/4</f>
        <v>537.984</v>
      </c>
      <c r="N40" s="8">
        <f>P40/4</f>
        <v>537.984</v>
      </c>
      <c r="O40" s="8">
        <f>P40/4</f>
        <v>537.984</v>
      </c>
      <c r="P40" s="8">
        <f>K40*J40*12</f>
        <v>2151.936</v>
      </c>
      <c r="R40" s="12"/>
    </row>
    <row r="41" spans="1:18" ht="15">
      <c r="A41" s="45" t="s">
        <v>117</v>
      </c>
      <c r="B41" s="46"/>
      <c r="C41" s="46"/>
      <c r="D41" s="46"/>
      <c r="E41" s="46"/>
      <c r="F41" s="46"/>
      <c r="G41" s="46"/>
      <c r="H41" s="47"/>
      <c r="I41" s="4"/>
      <c r="J41" s="6"/>
      <c r="K41" s="6"/>
      <c r="L41" s="8"/>
      <c r="M41" s="8"/>
      <c r="N41" s="8"/>
      <c r="O41" s="8"/>
      <c r="P41" s="8"/>
      <c r="R41" s="12"/>
    </row>
    <row r="42" spans="1:18" ht="22.5">
      <c r="A42" s="48" t="s">
        <v>118</v>
      </c>
      <c r="B42" s="49"/>
      <c r="C42" s="49"/>
      <c r="D42" s="49"/>
      <c r="E42" s="49"/>
      <c r="F42" s="49"/>
      <c r="G42" s="49"/>
      <c r="H42" s="84"/>
      <c r="I42" s="4" t="s">
        <v>23</v>
      </c>
      <c r="J42" s="6">
        <v>1.9</v>
      </c>
      <c r="K42" s="6">
        <v>373.6</v>
      </c>
      <c r="L42" s="8">
        <f>P42/4</f>
        <v>2129.52</v>
      </c>
      <c r="M42" s="8">
        <f>P42/4</f>
        <v>2129.52</v>
      </c>
      <c r="N42" s="8">
        <f>P42/4</f>
        <v>2129.52</v>
      </c>
      <c r="O42" s="8">
        <f>P42/4</f>
        <v>2129.52</v>
      </c>
      <c r="P42" s="8">
        <f>K42*J42*12</f>
        <v>8518.08</v>
      </c>
      <c r="R42" s="12"/>
    </row>
    <row r="43" spans="1:16" ht="15">
      <c r="A43" s="45" t="s">
        <v>119</v>
      </c>
      <c r="B43" s="46"/>
      <c r="C43" s="46"/>
      <c r="D43" s="46"/>
      <c r="E43" s="46"/>
      <c r="F43" s="46"/>
      <c r="G43" s="46"/>
      <c r="H43" s="47"/>
      <c r="I43" s="5"/>
      <c r="J43" s="6"/>
      <c r="K43" s="2"/>
      <c r="L43" s="41"/>
      <c r="M43" s="41"/>
      <c r="N43" s="41"/>
      <c r="O43" s="41"/>
      <c r="P43" s="6"/>
    </row>
    <row r="44" spans="1:16" ht="21" customHeight="1">
      <c r="A44" s="85" t="s">
        <v>120</v>
      </c>
      <c r="B44" s="86"/>
      <c r="C44" s="86"/>
      <c r="D44" s="86"/>
      <c r="E44" s="86"/>
      <c r="F44" s="86"/>
      <c r="G44" s="86"/>
      <c r="H44" s="87"/>
      <c r="I44" s="2"/>
      <c r="J44" s="6"/>
      <c r="K44" s="2"/>
      <c r="L44" s="8">
        <f>P44/4</f>
        <v>538</v>
      </c>
      <c r="M44" s="8">
        <f>P44/4</f>
        <v>538</v>
      </c>
      <c r="N44" s="8">
        <f>P44/4</f>
        <v>538</v>
      </c>
      <c r="O44" s="8">
        <f>P44/4</f>
        <v>538</v>
      </c>
      <c r="P44" s="8">
        <v>2152</v>
      </c>
    </row>
    <row r="45" spans="1:16" ht="15" customHeight="1">
      <c r="A45" s="85" t="s">
        <v>121</v>
      </c>
      <c r="B45" s="86"/>
      <c r="C45" s="86"/>
      <c r="D45" s="86"/>
      <c r="E45" s="86"/>
      <c r="F45" s="86"/>
      <c r="G45" s="86"/>
      <c r="H45" s="87"/>
      <c r="I45" s="6" t="s">
        <v>27</v>
      </c>
      <c r="J45" s="6">
        <v>3.94</v>
      </c>
      <c r="K45" s="6">
        <v>8</v>
      </c>
      <c r="L45" s="8">
        <f>J45*K45*3</f>
        <v>94.56</v>
      </c>
      <c r="M45" s="8">
        <f>L45</f>
        <v>94.56</v>
      </c>
      <c r="N45" s="8">
        <f>M45</f>
        <v>94.56</v>
      </c>
      <c r="O45" s="8">
        <f>N45</f>
        <v>94.56</v>
      </c>
      <c r="P45" s="8">
        <f>J45*K45*12</f>
        <v>378.24</v>
      </c>
    </row>
    <row r="46" spans="1:17" ht="15">
      <c r="A46" s="45" t="s">
        <v>28</v>
      </c>
      <c r="B46" s="46"/>
      <c r="C46" s="46"/>
      <c r="D46" s="46"/>
      <c r="E46" s="46"/>
      <c r="F46" s="46"/>
      <c r="G46" s="46"/>
      <c r="H46" s="47"/>
      <c r="I46" s="2"/>
      <c r="J46" s="6"/>
      <c r="K46" s="2"/>
      <c r="L46" s="14">
        <f>SUM(L29:L45)</f>
        <v>9213.924</v>
      </c>
      <c r="M46" s="14">
        <f>SUM(M29:M45)</f>
        <v>9213.924</v>
      </c>
      <c r="N46" s="14">
        <f>SUM(N29:N45)</f>
        <v>9213.924</v>
      </c>
      <c r="O46" s="14">
        <f>SUM(O29:O45)</f>
        <v>9213.924</v>
      </c>
      <c r="P46" s="14">
        <f>SUM(P29:P45)</f>
        <v>36855.696</v>
      </c>
      <c r="Q46" s="15"/>
    </row>
    <row r="47" spans="1:16" ht="15" customHeight="1">
      <c r="A47" s="85" t="s">
        <v>123</v>
      </c>
      <c r="B47" s="86"/>
      <c r="C47" s="86"/>
      <c r="D47" s="86"/>
      <c r="E47" s="86"/>
      <c r="F47" s="86"/>
      <c r="G47" s="86"/>
      <c r="H47" s="87"/>
      <c r="I47" s="2"/>
      <c r="J47" s="6"/>
      <c r="K47" s="2"/>
      <c r="L47" s="13"/>
      <c r="M47" s="13"/>
      <c r="N47" s="13"/>
      <c r="O47" s="13"/>
      <c r="P47" s="8">
        <f>I20</f>
        <v>5230.4140800000005</v>
      </c>
    </row>
    <row r="48" spans="1:16" ht="15" customHeight="1">
      <c r="A48" s="88" t="s">
        <v>29</v>
      </c>
      <c r="B48" s="89"/>
      <c r="C48" s="89"/>
      <c r="D48" s="89"/>
      <c r="E48" s="89"/>
      <c r="F48" s="89"/>
      <c r="G48" s="89"/>
      <c r="H48" s="90"/>
      <c r="I48" s="2"/>
      <c r="J48" s="6"/>
      <c r="K48" s="2"/>
      <c r="L48" s="13"/>
      <c r="M48" s="13"/>
      <c r="N48" s="13"/>
      <c r="O48" s="13"/>
      <c r="P48" s="14">
        <f>P46+P47</f>
        <v>42086.110080000006</v>
      </c>
    </row>
    <row r="49" spans="1:19" ht="15">
      <c r="A49" s="48" t="s">
        <v>30</v>
      </c>
      <c r="B49" s="49"/>
      <c r="C49" s="49"/>
      <c r="D49" s="49"/>
      <c r="E49" s="49"/>
      <c r="F49" s="49"/>
      <c r="G49" s="49"/>
      <c r="H49" s="84"/>
      <c r="I49" s="2"/>
      <c r="J49" s="6"/>
      <c r="K49" s="2"/>
      <c r="L49" s="2"/>
      <c r="M49" s="2"/>
      <c r="N49" s="2"/>
      <c r="O49" s="2"/>
      <c r="P49" s="6">
        <v>0</v>
      </c>
      <c r="Q49" s="15"/>
      <c r="S49" s="15"/>
    </row>
  </sheetData>
  <mergeCells count="51">
    <mergeCell ref="A46:H46"/>
    <mergeCell ref="A47:H47"/>
    <mergeCell ref="A48:H48"/>
    <mergeCell ref="A49:H49"/>
    <mergeCell ref="A38:H38"/>
    <mergeCell ref="A43:H43"/>
    <mergeCell ref="A44:H44"/>
    <mergeCell ref="A45:H45"/>
    <mergeCell ref="A39:H39"/>
    <mergeCell ref="A40:H40"/>
    <mergeCell ref="A41:H41"/>
    <mergeCell ref="A42:H42"/>
    <mergeCell ref="A34:H34"/>
    <mergeCell ref="A35:H35"/>
    <mergeCell ref="A36:G36"/>
    <mergeCell ref="A37:H37"/>
    <mergeCell ref="A30:H30"/>
    <mergeCell ref="A31:H31"/>
    <mergeCell ref="A32:H32"/>
    <mergeCell ref="A33:H33"/>
    <mergeCell ref="L26:O26"/>
    <mergeCell ref="P26:P27"/>
    <mergeCell ref="A28:H28"/>
    <mergeCell ref="A29:H29"/>
    <mergeCell ref="A26:H27"/>
    <mergeCell ref="I26:I27"/>
    <mergeCell ref="J26:J27"/>
    <mergeCell ref="K26:K27"/>
    <mergeCell ref="A21:H21"/>
    <mergeCell ref="A22:H22"/>
    <mergeCell ref="A25:I25"/>
    <mergeCell ref="A23:H23"/>
    <mergeCell ref="A24:H24"/>
    <mergeCell ref="A16:H16"/>
    <mergeCell ref="A12:H12"/>
    <mergeCell ref="A13:H13"/>
    <mergeCell ref="A17:H17"/>
    <mergeCell ref="L3:P3"/>
    <mergeCell ref="L4:P4"/>
    <mergeCell ref="A6:P6"/>
    <mergeCell ref="A7:P7"/>
    <mergeCell ref="A18:H18"/>
    <mergeCell ref="A19:H19"/>
    <mergeCell ref="A20:H20"/>
    <mergeCell ref="A1:B1"/>
    <mergeCell ref="A3:B3"/>
    <mergeCell ref="A9:H9"/>
    <mergeCell ref="A10:H10"/>
    <mergeCell ref="A11:H11"/>
    <mergeCell ref="A14:H14"/>
    <mergeCell ref="A15:H15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279794.4</v>
      </c>
    </row>
    <row r="12" spans="1:9" ht="21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20313.840000000004</v>
      </c>
    </row>
    <row r="13" spans="1:9" ht="13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K31*I20*12</f>
        <v>83938.31999999999</v>
      </c>
    </row>
    <row r="14" spans="1:9" ht="12" customHeight="1">
      <c r="A14" s="125" t="s">
        <v>43</v>
      </c>
      <c r="B14" s="126"/>
      <c r="C14" s="126"/>
      <c r="D14" s="126"/>
      <c r="E14" s="126"/>
      <c r="F14" s="126"/>
      <c r="G14" s="126"/>
      <c r="H14" s="127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21"/>
      <c r="I15" s="19">
        <f>SUM(I11:I13)*12%</f>
        <v>46085.5872</v>
      </c>
    </row>
    <row r="16" spans="1:9" ht="11.25" customHeight="1">
      <c r="A16" s="91" t="s">
        <v>46</v>
      </c>
      <c r="B16" s="92"/>
      <c r="C16" s="92"/>
      <c r="D16" s="92"/>
      <c r="E16" s="92"/>
      <c r="F16" s="92"/>
      <c r="G16" s="92"/>
      <c r="H16" s="93"/>
      <c r="I16" s="8">
        <f>I15</f>
        <v>46085.5872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SUM(I11:I13)-I15</f>
        <v>337960.97280000005</v>
      </c>
    </row>
    <row r="18" spans="1:9" ht="20.25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5.5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21.75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2250</v>
      </c>
      <c r="M25" s="6">
        <f aca="true" t="shared" si="1" ref="M25:M31">P25/4</f>
        <v>2250</v>
      </c>
      <c r="N25" s="6">
        <f aca="true" t="shared" si="2" ref="N25:N31">P25/4</f>
        <v>2250</v>
      </c>
      <c r="O25" s="6">
        <f aca="true" t="shared" si="3" ref="O25:O31">P25/4</f>
        <v>2250</v>
      </c>
      <c r="P25" s="8">
        <v>9000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3194</v>
      </c>
      <c r="L26" s="8">
        <f t="shared" si="0"/>
        <v>5749.2</v>
      </c>
      <c r="M26" s="8">
        <f t="shared" si="1"/>
        <v>5749.2</v>
      </c>
      <c r="N26" s="8">
        <f t="shared" si="2"/>
        <v>5749.2</v>
      </c>
      <c r="O26" s="20">
        <f t="shared" si="3"/>
        <v>5749.2</v>
      </c>
      <c r="P26" s="8">
        <f>J26*K26*12</f>
        <v>22996.8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3194</v>
      </c>
      <c r="L27" s="8">
        <f t="shared" si="0"/>
        <v>10827.66</v>
      </c>
      <c r="M27" s="8">
        <f t="shared" si="1"/>
        <v>10827.66</v>
      </c>
      <c r="N27" s="8">
        <f t="shared" si="2"/>
        <v>10827.66</v>
      </c>
      <c r="O27" s="8">
        <f t="shared" si="3"/>
        <v>10827.66</v>
      </c>
      <c r="P27" s="8">
        <f>K27*J27*12</f>
        <v>43310.64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3194</v>
      </c>
      <c r="L28" s="8">
        <f t="shared" si="0"/>
        <v>4503.539999999999</v>
      </c>
      <c r="M28" s="8">
        <f t="shared" si="1"/>
        <v>4503.539999999999</v>
      </c>
      <c r="N28" s="8">
        <f t="shared" si="2"/>
        <v>4503.539999999999</v>
      </c>
      <c r="O28" s="8">
        <f t="shared" si="3"/>
        <v>4503.539999999999</v>
      </c>
      <c r="P28" s="8">
        <f>K28*J28*12</f>
        <v>18014.159999999996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4500</v>
      </c>
      <c r="M29" s="6">
        <f t="shared" si="1"/>
        <v>4500</v>
      </c>
      <c r="N29" s="6">
        <f t="shared" si="2"/>
        <v>4500</v>
      </c>
      <c r="O29" s="6">
        <f t="shared" si="3"/>
        <v>4500</v>
      </c>
      <c r="P29" s="6">
        <v>18000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3194</v>
      </c>
      <c r="L30" s="8">
        <f t="shared" si="0"/>
        <v>11498.4</v>
      </c>
      <c r="M30" s="8">
        <f t="shared" si="1"/>
        <v>11498.4</v>
      </c>
      <c r="N30" s="8">
        <f t="shared" si="2"/>
        <v>11498.4</v>
      </c>
      <c r="O30" s="8">
        <f t="shared" si="3"/>
        <v>11498.4</v>
      </c>
      <c r="P30" s="8">
        <f>J30*K30*12</f>
        <v>45993.6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3194</v>
      </c>
      <c r="L31" s="8">
        <f t="shared" si="0"/>
        <v>7665.6</v>
      </c>
      <c r="M31" s="8">
        <f t="shared" si="1"/>
        <v>7665.6</v>
      </c>
      <c r="N31" s="8">
        <f t="shared" si="2"/>
        <v>7665.6</v>
      </c>
      <c r="O31" s="8">
        <f t="shared" si="3"/>
        <v>7665.6</v>
      </c>
      <c r="P31" s="8">
        <f>K31*J31*12</f>
        <v>30662.4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9030.75</v>
      </c>
      <c r="M33" s="8">
        <f>P33/4</f>
        <v>9030.75</v>
      </c>
      <c r="N33" s="8">
        <f>P33/4</f>
        <v>9030.75</v>
      </c>
      <c r="O33" s="8">
        <f>P33/4</f>
        <v>9030.75</v>
      </c>
      <c r="P33" s="8">
        <v>36123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885.7</v>
      </c>
      <c r="L34" s="6"/>
      <c r="M34" s="8">
        <f>P34/2</f>
        <v>442.85</v>
      </c>
      <c r="N34" s="6"/>
      <c r="O34" s="8">
        <f>P34/2</f>
        <v>442.85</v>
      </c>
      <c r="P34" s="8">
        <f>K34*J34</f>
        <v>885.7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3194</v>
      </c>
      <c r="L36" s="8">
        <f>P36/4</f>
        <v>4599.36</v>
      </c>
      <c r="M36" s="8">
        <f>P36/4</f>
        <v>4599.36</v>
      </c>
      <c r="N36" s="8">
        <f>P36/4</f>
        <v>4599.36</v>
      </c>
      <c r="O36" s="8">
        <f>P36/4</f>
        <v>4599.36</v>
      </c>
      <c r="P36" s="8">
        <f>K36*J36*12</f>
        <v>18397.44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3194</v>
      </c>
      <c r="L38" s="8">
        <f>P38/4</f>
        <v>18205.8</v>
      </c>
      <c r="M38" s="8">
        <f>P38/4</f>
        <v>18205.8</v>
      </c>
      <c r="N38" s="8">
        <f>P38/4</f>
        <v>18205.8</v>
      </c>
      <c r="O38" s="8">
        <f>P38/4</f>
        <v>18205.8</v>
      </c>
      <c r="P38" s="8">
        <f>K38*J38*12</f>
        <v>72823.2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41"/>
      <c r="M39" s="41"/>
      <c r="N39" s="41"/>
      <c r="O39" s="41"/>
      <c r="P39" s="8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4599.25</v>
      </c>
      <c r="M40" s="8">
        <f>P40/4</f>
        <v>4599.25</v>
      </c>
      <c r="N40" s="8">
        <f>P40/4</f>
        <v>4599.25</v>
      </c>
      <c r="O40" s="8">
        <f>P40/4</f>
        <v>4599.25</v>
      </c>
      <c r="P40" s="6">
        <v>18397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71</v>
      </c>
      <c r="L41" s="8">
        <f>J41*K41*3</f>
        <v>839.22</v>
      </c>
      <c r="M41" s="8">
        <f>L41</f>
        <v>839.22</v>
      </c>
      <c r="N41" s="8">
        <f>M41</f>
        <v>839.22</v>
      </c>
      <c r="O41" s="8">
        <f>N41</f>
        <v>839.22</v>
      </c>
      <c r="P41" s="8">
        <f>K41*J41*12</f>
        <v>3356.88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84268.78</v>
      </c>
      <c r="M42" s="14">
        <f>SUM(M25:M41)</f>
        <v>84711.63</v>
      </c>
      <c r="N42" s="14">
        <f>SUM(N25:N41)</f>
        <v>84268.78</v>
      </c>
      <c r="O42" s="14">
        <f>SUM(O25:O41)</f>
        <v>84711.63</v>
      </c>
      <c r="P42" s="14">
        <f>SUM(P25:P41)</f>
        <v>337960.82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46085.5872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384046.4072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42:H42"/>
    <mergeCell ref="A43:H43"/>
    <mergeCell ref="A44:H44"/>
    <mergeCell ref="A45:H45"/>
    <mergeCell ref="A34:H34"/>
    <mergeCell ref="A39:H39"/>
    <mergeCell ref="A40:H40"/>
    <mergeCell ref="A41:H41"/>
    <mergeCell ref="A35:H35"/>
    <mergeCell ref="A36:H36"/>
    <mergeCell ref="A37:H37"/>
    <mergeCell ref="A38:H38"/>
    <mergeCell ref="A30:H30"/>
    <mergeCell ref="A31:H31"/>
    <mergeCell ref="A32:G32"/>
    <mergeCell ref="A33:H33"/>
    <mergeCell ref="A26:H26"/>
    <mergeCell ref="A27:H27"/>
    <mergeCell ref="A28:H28"/>
    <mergeCell ref="A29:H29"/>
    <mergeCell ref="P22:P23"/>
    <mergeCell ref="A24:H24"/>
    <mergeCell ref="A25:H25"/>
    <mergeCell ref="A22:H23"/>
    <mergeCell ref="I22:I23"/>
    <mergeCell ref="J22:J23"/>
    <mergeCell ref="K22:K23"/>
    <mergeCell ref="A20:H20"/>
    <mergeCell ref="A21:I21"/>
    <mergeCell ref="A19:H19"/>
    <mergeCell ref="L22:O22"/>
    <mergeCell ref="A17:H17"/>
    <mergeCell ref="A18:H18"/>
    <mergeCell ref="A15:H15"/>
    <mergeCell ref="A16:H16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(7.3*K30*12)+(50.5*3.7*12)</f>
        <v>276412.68</v>
      </c>
    </row>
    <row r="12" spans="1:9" ht="21.7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20226.708000000002</v>
      </c>
    </row>
    <row r="13" spans="1:9" ht="17.2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K31*I20*12</f>
        <v>82251.144</v>
      </c>
    </row>
    <row r="14" spans="1:9" ht="12" customHeight="1">
      <c r="A14" s="125" t="s">
        <v>43</v>
      </c>
      <c r="B14" s="126"/>
      <c r="C14" s="126"/>
      <c r="D14" s="126"/>
      <c r="E14" s="126"/>
      <c r="F14" s="126"/>
      <c r="G14" s="126"/>
      <c r="H14" s="127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21"/>
      <c r="I15" s="19">
        <f>SUM(I11:I13)*12%</f>
        <v>45466.86384</v>
      </c>
    </row>
    <row r="16" spans="1:9" ht="11.25" customHeight="1">
      <c r="A16" s="91" t="s">
        <v>46</v>
      </c>
      <c r="B16" s="92"/>
      <c r="C16" s="92"/>
      <c r="D16" s="92"/>
      <c r="E16" s="92"/>
      <c r="F16" s="92"/>
      <c r="G16" s="92"/>
      <c r="H16" s="93"/>
      <c r="I16" s="8">
        <f>I15</f>
        <v>45466.86384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SUM(I11:I13)-I15</f>
        <v>333423.66816</v>
      </c>
    </row>
    <row r="18" spans="1:9" ht="21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4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3.5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4000</v>
      </c>
      <c r="M25" s="6">
        <f aca="true" t="shared" si="1" ref="M25:M31">P25/4</f>
        <v>4000</v>
      </c>
      <c r="N25" s="6">
        <f aca="true" t="shared" si="2" ref="N25:N31">P25/4</f>
        <v>4000</v>
      </c>
      <c r="O25" s="6">
        <f aca="true" t="shared" si="3" ref="O25:O31">P25/4</f>
        <v>4000</v>
      </c>
      <c r="P25" s="8">
        <v>16000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f>3129.8+50.5</f>
        <v>3180.3</v>
      </c>
      <c r="L26" s="8">
        <f t="shared" si="0"/>
        <v>5724.54</v>
      </c>
      <c r="M26" s="8">
        <f t="shared" si="1"/>
        <v>5724.54</v>
      </c>
      <c r="N26" s="8">
        <f t="shared" si="2"/>
        <v>5724.54</v>
      </c>
      <c r="O26" s="8">
        <f t="shared" si="3"/>
        <v>5724.54</v>
      </c>
      <c r="P26" s="8">
        <f>J26*K26*12</f>
        <v>22898.16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f>3129.8+50.5</f>
        <v>3180.3</v>
      </c>
      <c r="L27" s="8">
        <f t="shared" si="0"/>
        <v>10781.217</v>
      </c>
      <c r="M27" s="8">
        <f t="shared" si="1"/>
        <v>10781.217</v>
      </c>
      <c r="N27" s="8">
        <f t="shared" si="2"/>
        <v>10781.217</v>
      </c>
      <c r="O27" s="8">
        <f t="shared" si="3"/>
        <v>10781.217</v>
      </c>
      <c r="P27" s="8">
        <f>K27*J27*12</f>
        <v>43124.868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f>3129.8+50.5</f>
        <v>3180.3</v>
      </c>
      <c r="L28" s="8">
        <f t="shared" si="0"/>
        <v>4484.223</v>
      </c>
      <c r="M28" s="8">
        <f t="shared" si="1"/>
        <v>4484.223</v>
      </c>
      <c r="N28" s="8">
        <f t="shared" si="2"/>
        <v>4484.223</v>
      </c>
      <c r="O28" s="8">
        <f t="shared" si="3"/>
        <v>4484.223</v>
      </c>
      <c r="P28" s="8">
        <f>K28*J28*12</f>
        <v>17936.892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5500</v>
      </c>
      <c r="M29" s="6">
        <f t="shared" si="1"/>
        <v>5500</v>
      </c>
      <c r="N29" s="6">
        <f t="shared" si="2"/>
        <v>5500</v>
      </c>
      <c r="O29" s="6">
        <f t="shared" si="3"/>
        <v>5500</v>
      </c>
      <c r="P29" s="6">
        <v>22000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3129.8</v>
      </c>
      <c r="L30" s="8">
        <f t="shared" si="0"/>
        <v>11267.28</v>
      </c>
      <c r="M30" s="8">
        <f t="shared" si="1"/>
        <v>11267.28</v>
      </c>
      <c r="N30" s="8">
        <f t="shared" si="2"/>
        <v>11267.28</v>
      </c>
      <c r="O30" s="8">
        <f t="shared" si="3"/>
        <v>11267.28</v>
      </c>
      <c r="P30" s="8">
        <f>J30*K30*12</f>
        <v>45069.12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3129.8</v>
      </c>
      <c r="L31" s="8">
        <f t="shared" si="0"/>
        <v>7511.52</v>
      </c>
      <c r="M31" s="8">
        <f t="shared" si="1"/>
        <v>7511.52</v>
      </c>
      <c r="N31" s="8">
        <f t="shared" si="2"/>
        <v>7511.52</v>
      </c>
      <c r="O31" s="8">
        <f t="shared" si="3"/>
        <v>7511.52</v>
      </c>
      <c r="P31" s="8">
        <f>K31*J31*12</f>
        <v>30046.08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6037.25</v>
      </c>
      <c r="M33" s="8">
        <f>P33/4</f>
        <v>6037.25</v>
      </c>
      <c r="N33" s="8">
        <f>P33/4</f>
        <v>6037.25</v>
      </c>
      <c r="O33" s="8">
        <f>P33/4</f>
        <v>6037.25</v>
      </c>
      <c r="P33" s="8">
        <v>24149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894</v>
      </c>
      <c r="L34" s="6"/>
      <c r="M34" s="8">
        <f>P34/2</f>
        <v>447</v>
      </c>
      <c r="N34" s="6"/>
      <c r="O34" s="8">
        <f>P34/2</f>
        <v>447</v>
      </c>
      <c r="P34" s="8">
        <f>K34*J34</f>
        <v>894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f>3129.8+50.5</f>
        <v>3180.3</v>
      </c>
      <c r="L36" s="8">
        <f>P36/4</f>
        <v>4579.6320000000005</v>
      </c>
      <c r="M36" s="8">
        <f>P36/4</f>
        <v>4579.6320000000005</v>
      </c>
      <c r="N36" s="8">
        <f>P36/4</f>
        <v>4579.6320000000005</v>
      </c>
      <c r="O36" s="8">
        <f>P36/4</f>
        <v>4579.6320000000005</v>
      </c>
      <c r="P36" s="8">
        <f>K36*J36*12</f>
        <v>18318.528000000002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3129.8</v>
      </c>
      <c r="L38" s="6">
        <f>P38/4</f>
        <v>17839.86</v>
      </c>
      <c r="M38" s="8">
        <f>P38/4</f>
        <v>17839.86</v>
      </c>
      <c r="N38" s="8">
        <f>P38/4</f>
        <v>17839.86</v>
      </c>
      <c r="O38" s="8">
        <f>P38/4</f>
        <v>17839.86</v>
      </c>
      <c r="P38" s="8">
        <f>K38*J38*12</f>
        <v>71359.44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6">
        <f>P40/4</f>
        <v>4579.5</v>
      </c>
      <c r="M40" s="8">
        <f>P40/4</f>
        <v>4579.5</v>
      </c>
      <c r="N40" s="8">
        <f>P40/4</f>
        <v>4579.5</v>
      </c>
      <c r="O40" s="8">
        <f>P40/4</f>
        <v>4579.5</v>
      </c>
      <c r="P40" s="6">
        <v>18318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70</v>
      </c>
      <c r="L41" s="8">
        <f>J41*K41*3</f>
        <v>827.4000000000001</v>
      </c>
      <c r="M41" s="8">
        <f>L41</f>
        <v>827.4000000000001</v>
      </c>
      <c r="N41" s="8">
        <f>M41</f>
        <v>827.4000000000001</v>
      </c>
      <c r="O41" s="8">
        <f>N41</f>
        <v>827.4000000000001</v>
      </c>
      <c r="P41" s="8">
        <f>K41*J41*12</f>
        <v>3309.6000000000004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83132.42199999999</v>
      </c>
      <c r="M42" s="14">
        <f>SUM(M25:M41)</f>
        <v>83579.42199999999</v>
      </c>
      <c r="N42" s="14">
        <f>SUM(N25:N41)</f>
        <v>83132.42199999999</v>
      </c>
      <c r="O42" s="14">
        <f>SUM(O25:O41)</f>
        <v>83579.42199999999</v>
      </c>
      <c r="P42" s="14">
        <f>SUM(P25:P41)</f>
        <v>333423.68799999997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45466.86384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378890.55184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42:H42"/>
    <mergeCell ref="A43:H43"/>
    <mergeCell ref="A44:H44"/>
    <mergeCell ref="A45:H45"/>
    <mergeCell ref="A34:H34"/>
    <mergeCell ref="A39:H39"/>
    <mergeCell ref="A40:H40"/>
    <mergeCell ref="A41:H41"/>
    <mergeCell ref="A35:H35"/>
    <mergeCell ref="A36:H36"/>
    <mergeCell ref="A37:H37"/>
    <mergeCell ref="A38:H38"/>
    <mergeCell ref="A30:H30"/>
    <mergeCell ref="A31:H31"/>
    <mergeCell ref="A32:G32"/>
    <mergeCell ref="A33:H33"/>
    <mergeCell ref="A26:H26"/>
    <mergeCell ref="A27:H27"/>
    <mergeCell ref="A28:H28"/>
    <mergeCell ref="A29:H29"/>
    <mergeCell ref="P22:P23"/>
    <mergeCell ref="A24:H24"/>
    <mergeCell ref="A25:H25"/>
    <mergeCell ref="A22:H23"/>
    <mergeCell ref="I22:I23"/>
    <mergeCell ref="J22:J23"/>
    <mergeCell ref="K22:K23"/>
    <mergeCell ref="A20:H20"/>
    <mergeCell ref="A21:I21"/>
    <mergeCell ref="A19:H19"/>
    <mergeCell ref="L22:O22"/>
    <mergeCell ref="A15:H15"/>
    <mergeCell ref="A16:H16"/>
    <mergeCell ref="A17:H17"/>
    <mergeCell ref="A18:H18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0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294344.76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21370.236</v>
      </c>
    </row>
    <row r="13" spans="1:9" ht="18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K30*I20*12</f>
        <v>88303.428</v>
      </c>
    </row>
    <row r="14" spans="1:9" ht="12" customHeight="1">
      <c r="A14" s="125" t="s">
        <v>43</v>
      </c>
      <c r="B14" s="126"/>
      <c r="C14" s="126"/>
      <c r="D14" s="126"/>
      <c r="E14" s="126"/>
      <c r="F14" s="126"/>
      <c r="G14" s="126"/>
      <c r="H14" s="127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21"/>
      <c r="I15" s="19">
        <f>SUM(I11:I13)*12%</f>
        <v>48482.21088</v>
      </c>
    </row>
    <row r="16" spans="1:9" ht="11.25" customHeight="1">
      <c r="A16" s="91" t="s">
        <v>46</v>
      </c>
      <c r="B16" s="92"/>
      <c r="C16" s="92"/>
      <c r="D16" s="92"/>
      <c r="E16" s="92"/>
      <c r="F16" s="92"/>
      <c r="G16" s="92"/>
      <c r="H16" s="93"/>
      <c r="I16" s="8">
        <f>I15</f>
        <v>48482.21088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SUM(I11:I13)-I15</f>
        <v>355536.21312</v>
      </c>
    </row>
    <row r="18" spans="1:9" ht="21.75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2.5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3.5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3500</v>
      </c>
      <c r="M25" s="6">
        <f aca="true" t="shared" si="1" ref="M25:M31">P25/4</f>
        <v>3500</v>
      </c>
      <c r="N25" s="6">
        <f aca="true" t="shared" si="2" ref="N25:N31">P25/4</f>
        <v>3500</v>
      </c>
      <c r="O25" s="6">
        <f aca="true" t="shared" si="3" ref="O25:O31">P25/4</f>
        <v>3500</v>
      </c>
      <c r="P25" s="8">
        <v>14000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3360.1</v>
      </c>
      <c r="L26" s="8">
        <f t="shared" si="0"/>
        <v>6048.18</v>
      </c>
      <c r="M26" s="8">
        <f t="shared" si="1"/>
        <v>6048.18</v>
      </c>
      <c r="N26" s="8">
        <f t="shared" si="2"/>
        <v>6048.18</v>
      </c>
      <c r="O26" s="8">
        <f t="shared" si="3"/>
        <v>6048.18</v>
      </c>
      <c r="P26" s="8">
        <f>J26*K26*12</f>
        <v>24192.72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3360.1</v>
      </c>
      <c r="L27" s="8">
        <f t="shared" si="0"/>
        <v>11390.738999999998</v>
      </c>
      <c r="M27" s="8">
        <f t="shared" si="1"/>
        <v>11390.738999999998</v>
      </c>
      <c r="N27" s="8">
        <f t="shared" si="2"/>
        <v>11390.738999999998</v>
      </c>
      <c r="O27" s="8">
        <f t="shared" si="3"/>
        <v>11390.738999999998</v>
      </c>
      <c r="P27" s="8">
        <f>K27*J27*12</f>
        <v>45562.95599999999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3360.1</v>
      </c>
      <c r="L28" s="8">
        <f t="shared" si="0"/>
        <v>4737.741</v>
      </c>
      <c r="M28" s="8">
        <f t="shared" si="1"/>
        <v>4737.741</v>
      </c>
      <c r="N28" s="8">
        <f t="shared" si="2"/>
        <v>4737.741</v>
      </c>
      <c r="O28" s="8">
        <f t="shared" si="3"/>
        <v>4737.741</v>
      </c>
      <c r="P28" s="8">
        <f>K28*J28*12</f>
        <v>18950.964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5500</v>
      </c>
      <c r="M29" s="6">
        <f t="shared" si="1"/>
        <v>5500</v>
      </c>
      <c r="N29" s="6">
        <f t="shared" si="2"/>
        <v>5500</v>
      </c>
      <c r="O29" s="6">
        <f t="shared" si="3"/>
        <v>5500</v>
      </c>
      <c r="P29" s="6">
        <v>22000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3360.1</v>
      </c>
      <c r="L30" s="8">
        <f t="shared" si="0"/>
        <v>12096.36</v>
      </c>
      <c r="M30" s="8">
        <f t="shared" si="1"/>
        <v>12096.36</v>
      </c>
      <c r="N30" s="8">
        <f t="shared" si="2"/>
        <v>12096.36</v>
      </c>
      <c r="O30" s="8">
        <f t="shared" si="3"/>
        <v>12096.36</v>
      </c>
      <c r="P30" s="8">
        <f>J30*K30*12</f>
        <v>48385.44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3360.1</v>
      </c>
      <c r="L31" s="8">
        <f t="shared" si="0"/>
        <v>8064.24</v>
      </c>
      <c r="M31" s="8">
        <f t="shared" si="1"/>
        <v>8064.24</v>
      </c>
      <c r="N31" s="8">
        <f t="shared" si="2"/>
        <v>8064.24</v>
      </c>
      <c r="O31" s="8">
        <f t="shared" si="3"/>
        <v>8064.24</v>
      </c>
      <c r="P31" s="8">
        <f>K31*J31*12</f>
        <v>32256.96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8238.5</v>
      </c>
      <c r="M33" s="8">
        <f>P33/4</f>
        <v>8238.5</v>
      </c>
      <c r="N33" s="8">
        <f>P33/4</f>
        <v>8238.5</v>
      </c>
      <c r="O33" s="6">
        <f>P33/4</f>
        <v>8238.5</v>
      </c>
      <c r="P33" s="8">
        <v>32954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667</v>
      </c>
      <c r="L34" s="6"/>
      <c r="M34" s="8">
        <f>P34/2</f>
        <v>333.5</v>
      </c>
      <c r="N34" s="6"/>
      <c r="O34" s="8">
        <f>P34/2</f>
        <v>333.5</v>
      </c>
      <c r="P34" s="8">
        <f>K34*J34</f>
        <v>667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3360.1</v>
      </c>
      <c r="L36" s="8">
        <f>P36/4</f>
        <v>4838.544</v>
      </c>
      <c r="M36" s="8">
        <f>P36/4</f>
        <v>4838.544</v>
      </c>
      <c r="N36" s="8">
        <f>P36/4</f>
        <v>4838.544</v>
      </c>
      <c r="O36" s="8">
        <f>P36/4</f>
        <v>4838.544</v>
      </c>
      <c r="P36" s="8">
        <f>K36*J36*12</f>
        <v>19354.176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8"/>
      <c r="M37" s="8"/>
      <c r="N37" s="8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3360.1</v>
      </c>
      <c r="L38" s="8">
        <f>P38/4</f>
        <v>19152.57</v>
      </c>
      <c r="M38" s="8">
        <f>P38/4</f>
        <v>19152.57</v>
      </c>
      <c r="N38" s="8">
        <f>P38/4</f>
        <v>19152.57</v>
      </c>
      <c r="O38" s="8">
        <f>P38/4</f>
        <v>19152.57</v>
      </c>
      <c r="P38" s="8">
        <f>K38*J38*12</f>
        <v>76610.28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4228.5</v>
      </c>
      <c r="M40" s="8">
        <f>P40/4</f>
        <v>4228.5</v>
      </c>
      <c r="N40" s="8">
        <f>P40/4</f>
        <v>4228.5</v>
      </c>
      <c r="O40" s="8">
        <f>P40/4</f>
        <v>4228.5</v>
      </c>
      <c r="P40" s="6">
        <v>16914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78</v>
      </c>
      <c r="L41" s="8">
        <f>J41*K41*3</f>
        <v>921.96</v>
      </c>
      <c r="M41" s="8">
        <f>L41</f>
        <v>921.96</v>
      </c>
      <c r="N41" s="8">
        <f>M41</f>
        <v>921.96</v>
      </c>
      <c r="O41" s="8">
        <f>N41</f>
        <v>921.96</v>
      </c>
      <c r="P41" s="8">
        <f>K41*J41*12</f>
        <v>3687.84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88717.334</v>
      </c>
      <c r="M42" s="14">
        <f>SUM(M25:M41)</f>
        <v>89050.834</v>
      </c>
      <c r="N42" s="14">
        <f>SUM(N25:N41)</f>
        <v>88717.334</v>
      </c>
      <c r="O42" s="14">
        <f>SUM(O25:O41)</f>
        <v>89050.834</v>
      </c>
      <c r="P42" s="14">
        <f>SUM(P25:P41)</f>
        <v>355536.336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48482.21088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404018.54688000004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42:H42"/>
    <mergeCell ref="A43:H43"/>
    <mergeCell ref="A44:H44"/>
    <mergeCell ref="A45:H45"/>
    <mergeCell ref="A34:H34"/>
    <mergeCell ref="A39:H39"/>
    <mergeCell ref="A40:H40"/>
    <mergeCell ref="A41:H41"/>
    <mergeCell ref="A35:H35"/>
    <mergeCell ref="A36:H36"/>
    <mergeCell ref="A37:H37"/>
    <mergeCell ref="A38:H38"/>
    <mergeCell ref="A30:H30"/>
    <mergeCell ref="A31:H31"/>
    <mergeCell ref="A32:G32"/>
    <mergeCell ref="A33:H33"/>
    <mergeCell ref="A26:H26"/>
    <mergeCell ref="A27:H27"/>
    <mergeCell ref="A28:H28"/>
    <mergeCell ref="A29:H29"/>
    <mergeCell ref="P22:P23"/>
    <mergeCell ref="A24:H24"/>
    <mergeCell ref="A25:H25"/>
    <mergeCell ref="A22:H23"/>
    <mergeCell ref="I22:I23"/>
    <mergeCell ref="J22:J23"/>
    <mergeCell ref="K22:K23"/>
    <mergeCell ref="A20:H20"/>
    <mergeCell ref="A21:I21"/>
    <mergeCell ref="A19:H19"/>
    <mergeCell ref="L22:O22"/>
    <mergeCell ref="A17:H17"/>
    <mergeCell ref="A18:H18"/>
    <mergeCell ref="A15:H15"/>
    <mergeCell ref="A16:H16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294283.44</v>
      </c>
    </row>
    <row r="12" spans="1:9" ht="23.2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21365.784000000003</v>
      </c>
    </row>
    <row r="13" spans="1:9" ht="18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K31*I20*12</f>
        <v>88285.032</v>
      </c>
    </row>
    <row r="14" spans="1:9" ht="12" customHeight="1">
      <c r="A14" s="125" t="s">
        <v>43</v>
      </c>
      <c r="B14" s="126"/>
      <c r="C14" s="126"/>
      <c r="D14" s="126"/>
      <c r="E14" s="126"/>
      <c r="F14" s="126"/>
      <c r="G14" s="126"/>
      <c r="H14" s="127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21"/>
      <c r="I15" s="19">
        <f>SUM(I11:I13)*12%</f>
        <v>48472.11072</v>
      </c>
    </row>
    <row r="16" spans="1:9" ht="11.25" customHeight="1">
      <c r="A16" s="119" t="s">
        <v>46</v>
      </c>
      <c r="B16" s="120"/>
      <c r="C16" s="120"/>
      <c r="D16" s="120"/>
      <c r="E16" s="120"/>
      <c r="F16" s="120"/>
      <c r="G16" s="120"/>
      <c r="H16" s="121"/>
      <c r="I16" s="8">
        <f>I15</f>
        <v>48472.11072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SUM(I11:I13)-I15</f>
        <v>355462.14528</v>
      </c>
    </row>
    <row r="18" spans="1:9" ht="21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3.25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8.75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3500</v>
      </c>
      <c r="M25" s="6">
        <f aca="true" t="shared" si="1" ref="M25:M31">P25/4</f>
        <v>3500</v>
      </c>
      <c r="N25" s="6">
        <f aca="true" t="shared" si="2" ref="N25:N31">P25/4</f>
        <v>3500</v>
      </c>
      <c r="O25" s="6">
        <f aca="true" t="shared" si="3" ref="O25:O31">P25/4</f>
        <v>3500</v>
      </c>
      <c r="P25" s="8">
        <v>14000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3359.4</v>
      </c>
      <c r="L26" s="8">
        <f t="shared" si="0"/>
        <v>6046.92</v>
      </c>
      <c r="M26" s="8">
        <f t="shared" si="1"/>
        <v>6046.92</v>
      </c>
      <c r="N26" s="8">
        <f t="shared" si="2"/>
        <v>6046.92</v>
      </c>
      <c r="O26" s="8">
        <f t="shared" si="3"/>
        <v>6046.92</v>
      </c>
      <c r="P26" s="8">
        <f>J26*K26*12</f>
        <v>24187.68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3359.4</v>
      </c>
      <c r="L27" s="8">
        <f t="shared" si="0"/>
        <v>11388.366</v>
      </c>
      <c r="M27" s="8">
        <f t="shared" si="1"/>
        <v>11388.366</v>
      </c>
      <c r="N27" s="8">
        <f t="shared" si="2"/>
        <v>11388.366</v>
      </c>
      <c r="O27" s="8">
        <f t="shared" si="3"/>
        <v>11388.366</v>
      </c>
      <c r="P27" s="8">
        <f>K27*J27*12</f>
        <v>45553.464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3359.4</v>
      </c>
      <c r="L28" s="8">
        <f t="shared" si="0"/>
        <v>4736.754</v>
      </c>
      <c r="M28" s="8">
        <f t="shared" si="1"/>
        <v>4736.754</v>
      </c>
      <c r="N28" s="8">
        <f t="shared" si="2"/>
        <v>4736.754</v>
      </c>
      <c r="O28" s="8">
        <f t="shared" si="3"/>
        <v>4736.754</v>
      </c>
      <c r="P28" s="8">
        <f>K28*J28*12</f>
        <v>18947.016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5000</v>
      </c>
      <c r="M29" s="6">
        <f t="shared" si="1"/>
        <v>5000</v>
      </c>
      <c r="N29" s="6">
        <f t="shared" si="2"/>
        <v>5000</v>
      </c>
      <c r="O29" s="6">
        <f t="shared" si="3"/>
        <v>5000</v>
      </c>
      <c r="P29" s="6">
        <v>20000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3359.4</v>
      </c>
      <c r="L30" s="8">
        <f t="shared" si="0"/>
        <v>12093.84</v>
      </c>
      <c r="M30" s="8">
        <f t="shared" si="1"/>
        <v>12093.84</v>
      </c>
      <c r="N30" s="8">
        <f t="shared" si="2"/>
        <v>12093.84</v>
      </c>
      <c r="O30" s="8">
        <f t="shared" si="3"/>
        <v>12093.84</v>
      </c>
      <c r="P30" s="8">
        <f>J30*K30*12</f>
        <v>48375.36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3359.4</v>
      </c>
      <c r="L31" s="8">
        <f t="shared" si="0"/>
        <v>8062.560000000001</v>
      </c>
      <c r="M31" s="8">
        <f t="shared" si="1"/>
        <v>8062.560000000001</v>
      </c>
      <c r="N31" s="8">
        <f t="shared" si="2"/>
        <v>8062.560000000001</v>
      </c>
      <c r="O31" s="8">
        <f t="shared" si="3"/>
        <v>8062.560000000001</v>
      </c>
      <c r="P31" s="8">
        <f>K31*J31*12</f>
        <v>32250.240000000005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8766</v>
      </c>
      <c r="M33" s="8">
        <f>P33/4</f>
        <v>8766</v>
      </c>
      <c r="N33" s="8">
        <f>P33/4</f>
        <v>8766</v>
      </c>
      <c r="O33" s="6">
        <f>P33/4</f>
        <v>8766</v>
      </c>
      <c r="P33" s="8">
        <v>35064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893</v>
      </c>
      <c r="L34" s="6"/>
      <c r="M34" s="8">
        <f>P34/2</f>
        <v>446.5</v>
      </c>
      <c r="N34" s="6"/>
      <c r="O34" s="8">
        <f>P34/2</f>
        <v>446.5</v>
      </c>
      <c r="P34" s="8">
        <f>K34*J34</f>
        <v>893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3359.4</v>
      </c>
      <c r="L36" s="6">
        <f>P36/4</f>
        <v>4837.536</v>
      </c>
      <c r="M36" s="8">
        <f>P36/4</f>
        <v>4837.536</v>
      </c>
      <c r="N36" s="6">
        <f>P36/4</f>
        <v>4837.536</v>
      </c>
      <c r="O36" s="8">
        <f>P36/4</f>
        <v>4837.536</v>
      </c>
      <c r="P36" s="8">
        <f>K36*J36*12</f>
        <v>19350.144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3359.4</v>
      </c>
      <c r="L38" s="8">
        <f>P38/4</f>
        <v>19148.579999999998</v>
      </c>
      <c r="M38" s="8">
        <f>P38/4</f>
        <v>19148.579999999998</v>
      </c>
      <c r="N38" s="8">
        <f>P38/4</f>
        <v>19148.579999999998</v>
      </c>
      <c r="O38" s="8">
        <f>P38/4</f>
        <v>19148.579999999998</v>
      </c>
      <c r="P38" s="8">
        <f>K38*J38*12</f>
        <v>76594.31999999999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41"/>
      <c r="M39" s="41"/>
      <c r="N39" s="41"/>
      <c r="O39" s="41"/>
      <c r="P39" s="8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4234.25</v>
      </c>
      <c r="M40" s="8">
        <f>P40/4</f>
        <v>4234.25</v>
      </c>
      <c r="N40" s="8">
        <f>P40/4</f>
        <v>4234.25</v>
      </c>
      <c r="O40" s="8">
        <f>P40/4</f>
        <v>4234.25</v>
      </c>
      <c r="P40" s="8">
        <v>16937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70</v>
      </c>
      <c r="L41" s="8">
        <f>J41*K41*3</f>
        <v>827.4000000000001</v>
      </c>
      <c r="M41" s="8">
        <f>L41</f>
        <v>827.4000000000001</v>
      </c>
      <c r="N41" s="8">
        <f>M41</f>
        <v>827.4000000000001</v>
      </c>
      <c r="O41" s="8">
        <f>N41</f>
        <v>827.4000000000001</v>
      </c>
      <c r="P41" s="8">
        <f>K41*J41*12</f>
        <v>3309.6000000000004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88642.20599999999</v>
      </c>
      <c r="M42" s="14">
        <f>SUM(M25:M41)</f>
        <v>89088.70599999999</v>
      </c>
      <c r="N42" s="14">
        <f>SUM(N25:N41)</f>
        <v>88642.20599999999</v>
      </c>
      <c r="O42" s="14">
        <f>SUM(O25:O41)</f>
        <v>89088.70599999999</v>
      </c>
      <c r="P42" s="14">
        <f>SUM(P25:P41)</f>
        <v>355461.82399999996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48472.11072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403933.93471999996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42:H42"/>
    <mergeCell ref="A43:H43"/>
    <mergeCell ref="A44:H44"/>
    <mergeCell ref="A45:H45"/>
    <mergeCell ref="A34:H34"/>
    <mergeCell ref="A39:H39"/>
    <mergeCell ref="A40:H40"/>
    <mergeCell ref="A41:H41"/>
    <mergeCell ref="A35:H35"/>
    <mergeCell ref="A36:H36"/>
    <mergeCell ref="A37:H37"/>
    <mergeCell ref="A38:H38"/>
    <mergeCell ref="A30:H30"/>
    <mergeCell ref="A31:H31"/>
    <mergeCell ref="A32:G32"/>
    <mergeCell ref="A33:H33"/>
    <mergeCell ref="A26:H26"/>
    <mergeCell ref="A27:H27"/>
    <mergeCell ref="A28:H28"/>
    <mergeCell ref="A29:H29"/>
    <mergeCell ref="P22:P23"/>
    <mergeCell ref="A24:H24"/>
    <mergeCell ref="A25:H25"/>
    <mergeCell ref="A22:H23"/>
    <mergeCell ref="I22:I23"/>
    <mergeCell ref="J22:J23"/>
    <mergeCell ref="K22:K23"/>
    <mergeCell ref="A20:H20"/>
    <mergeCell ref="A21:I21"/>
    <mergeCell ref="A19:H19"/>
    <mergeCell ref="L22:O22"/>
    <mergeCell ref="A17:H17"/>
    <mergeCell ref="A18:H18"/>
    <mergeCell ref="A15:H15"/>
    <mergeCell ref="A16:H16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31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275940</v>
      </c>
    </row>
    <row r="12" spans="1:9" ht="28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20034</v>
      </c>
    </row>
    <row r="13" spans="1:9" ht="16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K28*I20*12</f>
        <v>82782</v>
      </c>
    </row>
    <row r="14" spans="1:9" ht="12" customHeight="1">
      <c r="A14" s="125" t="s">
        <v>43</v>
      </c>
      <c r="B14" s="126"/>
      <c r="C14" s="126"/>
      <c r="D14" s="126"/>
      <c r="E14" s="126"/>
      <c r="F14" s="126"/>
      <c r="G14" s="126"/>
      <c r="H14" s="127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21"/>
      <c r="I15" s="19">
        <f>SUM(I11:I13)*12%</f>
        <v>45450.72</v>
      </c>
    </row>
    <row r="16" spans="1:9" ht="11.25" customHeight="1">
      <c r="A16" s="119" t="s">
        <v>46</v>
      </c>
      <c r="B16" s="120"/>
      <c r="C16" s="120"/>
      <c r="D16" s="120"/>
      <c r="E16" s="120"/>
      <c r="F16" s="120"/>
      <c r="G16" s="120"/>
      <c r="H16" s="121"/>
      <c r="I16" s="8">
        <f>I15</f>
        <v>45450.72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SUM(I11:I13)-I15</f>
        <v>333305.28</v>
      </c>
    </row>
    <row r="18" spans="1:9" ht="22.5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1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3.5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3500</v>
      </c>
      <c r="M25" s="6">
        <f aca="true" t="shared" si="1" ref="M25:M31">P25/4</f>
        <v>3500</v>
      </c>
      <c r="N25" s="6">
        <f aca="true" t="shared" si="2" ref="N25:N31">P25/4</f>
        <v>3500</v>
      </c>
      <c r="O25" s="6">
        <f aca="true" t="shared" si="3" ref="O25:O31">P25/4</f>
        <v>3500</v>
      </c>
      <c r="P25" s="8">
        <v>14000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3150</v>
      </c>
      <c r="L26" s="8">
        <f t="shared" si="0"/>
        <v>5670</v>
      </c>
      <c r="M26" s="8">
        <f t="shared" si="1"/>
        <v>5670</v>
      </c>
      <c r="N26" s="8">
        <f t="shared" si="2"/>
        <v>5670</v>
      </c>
      <c r="O26" s="8">
        <f t="shared" si="3"/>
        <v>5670</v>
      </c>
      <c r="P26" s="8">
        <f>J26*K26*12</f>
        <v>22680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3150</v>
      </c>
      <c r="L27" s="8">
        <f t="shared" si="0"/>
        <v>10678.499999999998</v>
      </c>
      <c r="M27" s="8">
        <f t="shared" si="1"/>
        <v>10678.499999999998</v>
      </c>
      <c r="N27" s="8">
        <f t="shared" si="2"/>
        <v>10678.499999999998</v>
      </c>
      <c r="O27" s="8">
        <f t="shared" si="3"/>
        <v>10678.499999999998</v>
      </c>
      <c r="P27" s="8">
        <f>K27*J27*12</f>
        <v>42713.99999999999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3150</v>
      </c>
      <c r="L28" s="8">
        <f t="shared" si="0"/>
        <v>4441.5</v>
      </c>
      <c r="M28" s="8">
        <f t="shared" si="1"/>
        <v>4441.5</v>
      </c>
      <c r="N28" s="8">
        <f t="shared" si="2"/>
        <v>4441.5</v>
      </c>
      <c r="O28" s="8">
        <f t="shared" si="3"/>
        <v>4441.5</v>
      </c>
      <c r="P28" s="8">
        <f>K28*J28*12</f>
        <v>17766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5000</v>
      </c>
      <c r="M29" s="6">
        <f t="shared" si="1"/>
        <v>5000</v>
      </c>
      <c r="N29" s="6">
        <f t="shared" si="2"/>
        <v>5000</v>
      </c>
      <c r="O29" s="6">
        <f t="shared" si="3"/>
        <v>5000</v>
      </c>
      <c r="P29" s="6">
        <v>20000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3150</v>
      </c>
      <c r="L30" s="8">
        <f t="shared" si="0"/>
        <v>11340</v>
      </c>
      <c r="M30" s="8">
        <f t="shared" si="1"/>
        <v>11340</v>
      </c>
      <c r="N30" s="8">
        <f t="shared" si="2"/>
        <v>11340</v>
      </c>
      <c r="O30" s="8">
        <f t="shared" si="3"/>
        <v>11340</v>
      </c>
      <c r="P30" s="8">
        <f>J30*K30*12</f>
        <v>45360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3150</v>
      </c>
      <c r="L31" s="8">
        <f t="shared" si="0"/>
        <v>7560</v>
      </c>
      <c r="M31" s="8">
        <f t="shared" si="1"/>
        <v>7560</v>
      </c>
      <c r="N31" s="8">
        <f t="shared" si="2"/>
        <v>7560</v>
      </c>
      <c r="O31" s="8">
        <f t="shared" si="3"/>
        <v>7560</v>
      </c>
      <c r="P31" s="8">
        <f>K31*J31*12</f>
        <v>30240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6999.5</v>
      </c>
      <c r="M33" s="8">
        <f>P33/4</f>
        <v>6999.5</v>
      </c>
      <c r="N33" s="8">
        <f>P33/4</f>
        <v>6999.5</v>
      </c>
      <c r="O33" s="8">
        <f>P33/4</f>
        <v>6999.5</v>
      </c>
      <c r="P33" s="8">
        <v>27998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893</v>
      </c>
      <c r="L34" s="6"/>
      <c r="M34" s="8">
        <f>P34/2</f>
        <v>446.5</v>
      </c>
      <c r="N34" s="6"/>
      <c r="O34" s="8">
        <f>P34/2</f>
        <v>446.5</v>
      </c>
      <c r="P34" s="8">
        <f>K34*J34</f>
        <v>893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3150</v>
      </c>
      <c r="L36" s="6">
        <f>P36/4</f>
        <v>4536</v>
      </c>
      <c r="M36" s="8">
        <f>P36/4</f>
        <v>4536</v>
      </c>
      <c r="N36" s="6">
        <f>P36/4</f>
        <v>4536</v>
      </c>
      <c r="O36" s="8">
        <f>P36/4</f>
        <v>4536</v>
      </c>
      <c r="P36" s="8">
        <f>K36*J36*12</f>
        <v>18144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3150</v>
      </c>
      <c r="L38" s="6">
        <f>P38/4</f>
        <v>17955</v>
      </c>
      <c r="M38" s="8">
        <f>P38/4</f>
        <v>17955</v>
      </c>
      <c r="N38" s="6">
        <f>P38/4</f>
        <v>17955</v>
      </c>
      <c r="O38" s="8">
        <f>P38/4</f>
        <v>17955</v>
      </c>
      <c r="P38" s="8">
        <f>K38*J38*12</f>
        <v>71820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4536</v>
      </c>
      <c r="M40" s="8">
        <f>P40/4</f>
        <v>4536</v>
      </c>
      <c r="N40" s="8">
        <f>P40/4</f>
        <v>4536</v>
      </c>
      <c r="O40" s="8">
        <f>P40/4</f>
        <v>4536</v>
      </c>
      <c r="P40" s="6">
        <v>18144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75</v>
      </c>
      <c r="L41" s="8">
        <f>J41*K41*3</f>
        <v>886.5</v>
      </c>
      <c r="M41" s="8">
        <f>L41</f>
        <v>886.5</v>
      </c>
      <c r="N41" s="8">
        <f>M41</f>
        <v>886.5</v>
      </c>
      <c r="O41" s="8">
        <f>N41</f>
        <v>886.5</v>
      </c>
      <c r="P41" s="8">
        <f>K41*J41*12</f>
        <v>3546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83103</v>
      </c>
      <c r="M42" s="14">
        <f>SUM(M25:M41)</f>
        <v>83549.5</v>
      </c>
      <c r="N42" s="14">
        <f>SUM(N25:N41)</f>
        <v>83103</v>
      </c>
      <c r="O42" s="14">
        <f>SUM(O25:O41)</f>
        <v>83549.5</v>
      </c>
      <c r="P42" s="14">
        <f>SUM(P25:P41)</f>
        <v>333305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45450.72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378755.72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42:H42"/>
    <mergeCell ref="A43:H43"/>
    <mergeCell ref="A44:H44"/>
    <mergeCell ref="A45:H45"/>
    <mergeCell ref="A34:H34"/>
    <mergeCell ref="A39:H39"/>
    <mergeCell ref="A40:H40"/>
    <mergeCell ref="A41:H41"/>
    <mergeCell ref="A35:H35"/>
    <mergeCell ref="A36:H36"/>
    <mergeCell ref="A37:H37"/>
    <mergeCell ref="A38:H38"/>
    <mergeCell ref="A30:H30"/>
    <mergeCell ref="A31:H31"/>
    <mergeCell ref="A32:G32"/>
    <mergeCell ref="A33:H33"/>
    <mergeCell ref="A26:H26"/>
    <mergeCell ref="A27:H27"/>
    <mergeCell ref="A28:H28"/>
    <mergeCell ref="A29:H29"/>
    <mergeCell ref="P22:P23"/>
    <mergeCell ref="A24:H24"/>
    <mergeCell ref="A25:H25"/>
    <mergeCell ref="A22:H23"/>
    <mergeCell ref="I22:I23"/>
    <mergeCell ref="J22:J23"/>
    <mergeCell ref="K22:K23"/>
    <mergeCell ref="A20:H20"/>
    <mergeCell ref="A21:I21"/>
    <mergeCell ref="A19:H19"/>
    <mergeCell ref="L22:O22"/>
    <mergeCell ref="A17:H17"/>
    <mergeCell ref="A18:H18"/>
    <mergeCell ref="A15:H15"/>
    <mergeCell ref="A16:H16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5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93705.72</v>
      </c>
    </row>
    <row r="12" spans="1:9" ht="20.2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K27*I19*12</f>
        <v>6803.292</v>
      </c>
    </row>
    <row r="13" spans="1:9" ht="16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K31*I20*12</f>
        <v>28111.716</v>
      </c>
    </row>
    <row r="14" spans="1:9" ht="12" customHeight="1">
      <c r="A14" s="125" t="s">
        <v>43</v>
      </c>
      <c r="B14" s="126"/>
      <c r="C14" s="126"/>
      <c r="D14" s="126"/>
      <c r="E14" s="126"/>
      <c r="F14" s="126"/>
      <c r="G14" s="126"/>
      <c r="H14" s="127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21"/>
      <c r="I15" s="19">
        <f>SUM(I11:I13)*12%</f>
        <v>15434.48736</v>
      </c>
    </row>
    <row r="16" spans="1:9" ht="11.25" customHeight="1">
      <c r="A16" s="119" t="s">
        <v>46</v>
      </c>
      <c r="B16" s="120"/>
      <c r="C16" s="120"/>
      <c r="D16" s="120"/>
      <c r="E16" s="120"/>
      <c r="F16" s="120"/>
      <c r="G16" s="120"/>
      <c r="H16" s="121"/>
      <c r="I16" s="8">
        <f>I15</f>
        <v>15434.48736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SUM(I11:I13)-I15</f>
        <v>113186.24064</v>
      </c>
    </row>
    <row r="18" spans="1:9" ht="21.75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1.75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8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1250</v>
      </c>
      <c r="M25" s="6">
        <f aca="true" t="shared" si="1" ref="M25:M31">P25/4</f>
        <v>1250</v>
      </c>
      <c r="N25" s="6">
        <f aca="true" t="shared" si="2" ref="N25:N30">P25/4</f>
        <v>1250</v>
      </c>
      <c r="O25" s="6">
        <f aca="true" t="shared" si="3" ref="O25:O31">P25/4</f>
        <v>1250</v>
      </c>
      <c r="P25" s="8">
        <v>5000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1069.7</v>
      </c>
      <c r="L26" s="8">
        <f t="shared" si="0"/>
        <v>1925.46</v>
      </c>
      <c r="M26" s="8">
        <f t="shared" si="1"/>
        <v>1925.46</v>
      </c>
      <c r="N26" s="8">
        <f t="shared" si="2"/>
        <v>1925.46</v>
      </c>
      <c r="O26" s="8">
        <f t="shared" si="3"/>
        <v>1925.46</v>
      </c>
      <c r="P26" s="8">
        <f>J26*K26*12</f>
        <v>7701.84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1069.7</v>
      </c>
      <c r="L27" s="8">
        <f t="shared" si="0"/>
        <v>3626.283</v>
      </c>
      <c r="M27" s="8">
        <f t="shared" si="1"/>
        <v>3626.283</v>
      </c>
      <c r="N27" s="8">
        <f t="shared" si="2"/>
        <v>3626.283</v>
      </c>
      <c r="O27" s="8">
        <f t="shared" si="3"/>
        <v>3626.283</v>
      </c>
      <c r="P27" s="8">
        <f>K27*J27*12</f>
        <v>14505.132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1069.7</v>
      </c>
      <c r="L28" s="8">
        <f t="shared" si="0"/>
        <v>1508.277</v>
      </c>
      <c r="M28" s="8">
        <f t="shared" si="1"/>
        <v>1508.277</v>
      </c>
      <c r="N28" s="8">
        <f t="shared" si="2"/>
        <v>1508.277</v>
      </c>
      <c r="O28" s="8">
        <f t="shared" si="3"/>
        <v>1508.277</v>
      </c>
      <c r="P28" s="8">
        <f>K28*J28*12</f>
        <v>6033.108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2000</v>
      </c>
      <c r="M29" s="6">
        <f t="shared" si="1"/>
        <v>2000</v>
      </c>
      <c r="N29" s="6">
        <f t="shared" si="2"/>
        <v>2000</v>
      </c>
      <c r="O29" s="6">
        <f t="shared" si="3"/>
        <v>2000</v>
      </c>
      <c r="P29" s="6">
        <v>8000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1069.7</v>
      </c>
      <c r="L30" s="8">
        <f t="shared" si="0"/>
        <v>3850.92</v>
      </c>
      <c r="M30" s="8">
        <f t="shared" si="1"/>
        <v>3850.92</v>
      </c>
      <c r="N30" s="8">
        <f t="shared" si="2"/>
        <v>3850.92</v>
      </c>
      <c r="O30" s="8">
        <f t="shared" si="3"/>
        <v>3850.92</v>
      </c>
      <c r="P30" s="8">
        <f>J30*K30*12</f>
        <v>15403.68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1069.7</v>
      </c>
      <c r="L31" s="8">
        <f t="shared" si="0"/>
        <v>2567.28</v>
      </c>
      <c r="M31" s="8">
        <f t="shared" si="1"/>
        <v>2567.28</v>
      </c>
      <c r="N31" s="8">
        <f>P31/4</f>
        <v>2567.28</v>
      </c>
      <c r="O31" s="8">
        <f t="shared" si="3"/>
        <v>2567.28</v>
      </c>
      <c r="P31" s="8">
        <f>K31*J31*12</f>
        <v>10269.12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2047.25</v>
      </c>
      <c r="M33" s="8">
        <f>P33/4</f>
        <v>2047.25</v>
      </c>
      <c r="N33" s="8">
        <f>P33/4</f>
        <v>2047.25</v>
      </c>
      <c r="O33" s="8">
        <f>P33/4</f>
        <v>2047.25</v>
      </c>
      <c r="P33" s="8">
        <v>8189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474.3</v>
      </c>
      <c r="L34" s="6"/>
      <c r="M34" s="8">
        <f>P34/2</f>
        <v>237.15</v>
      </c>
      <c r="N34" s="6"/>
      <c r="O34" s="8">
        <f>P34/2</f>
        <v>237.15</v>
      </c>
      <c r="P34" s="8">
        <f>K34*J34</f>
        <v>474.3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1069.7</v>
      </c>
      <c r="L36" s="8">
        <f>P36/4</f>
        <v>1540.368</v>
      </c>
      <c r="M36" s="8">
        <f>P36/4</f>
        <v>1540.368</v>
      </c>
      <c r="N36" s="8">
        <f>P36/4</f>
        <v>1540.368</v>
      </c>
      <c r="O36" s="8">
        <f>P36/4</f>
        <v>1540.368</v>
      </c>
      <c r="P36" s="8">
        <f>K36*J36*12</f>
        <v>6161.472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1069.7</v>
      </c>
      <c r="L38" s="8">
        <f>P38/4</f>
        <v>6097.29</v>
      </c>
      <c r="M38" s="8">
        <f>P38/4</f>
        <v>6097.29</v>
      </c>
      <c r="N38" s="8">
        <f>P38/4</f>
        <v>6097.29</v>
      </c>
      <c r="O38" s="8">
        <f>P38/4</f>
        <v>6097.29</v>
      </c>
      <c r="P38" s="8">
        <f>K38*J38*12</f>
        <v>24389.16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1540.25</v>
      </c>
      <c r="M40" s="8">
        <f>P40/4</f>
        <v>1540.25</v>
      </c>
      <c r="N40" s="8">
        <f>P40/4</f>
        <v>1540.25</v>
      </c>
      <c r="O40" s="8">
        <f>P40/4</f>
        <v>1540.25</v>
      </c>
      <c r="P40" s="6">
        <v>6161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19</v>
      </c>
      <c r="L41" s="8">
        <f>J41*K41*3</f>
        <v>224.57999999999998</v>
      </c>
      <c r="M41" s="8">
        <f>L41</f>
        <v>224.57999999999998</v>
      </c>
      <c r="N41" s="8">
        <f>M41</f>
        <v>224.57999999999998</v>
      </c>
      <c r="O41" s="8">
        <f>N41</f>
        <v>224.57999999999998</v>
      </c>
      <c r="P41" s="8">
        <f>K41*J41*12</f>
        <v>898.3199999999999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28177.958000000002</v>
      </c>
      <c r="M42" s="14">
        <f>SUM(M25:M41)</f>
        <v>28415.108000000004</v>
      </c>
      <c r="N42" s="14">
        <f>SUM(N25:N41)</f>
        <v>28177.958000000002</v>
      </c>
      <c r="O42" s="14">
        <f>SUM(O25:O41)</f>
        <v>28415.108000000004</v>
      </c>
      <c r="P42" s="14">
        <f>SUM(P25:P41)</f>
        <v>113186.13200000001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15434.48736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128620.61936000001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42:H42"/>
    <mergeCell ref="A43:H43"/>
    <mergeCell ref="A44:H44"/>
    <mergeCell ref="A45:H45"/>
    <mergeCell ref="A34:H34"/>
    <mergeCell ref="A39:H39"/>
    <mergeCell ref="A40:H40"/>
    <mergeCell ref="A41:H41"/>
    <mergeCell ref="A35:H35"/>
    <mergeCell ref="A36:H36"/>
    <mergeCell ref="A37:H37"/>
    <mergeCell ref="A38:H38"/>
    <mergeCell ref="A30:H30"/>
    <mergeCell ref="A31:H31"/>
    <mergeCell ref="A32:G32"/>
    <mergeCell ref="A33:H33"/>
    <mergeCell ref="A26:H26"/>
    <mergeCell ref="A27:H27"/>
    <mergeCell ref="A28:H28"/>
    <mergeCell ref="A29:H29"/>
    <mergeCell ref="P22:P23"/>
    <mergeCell ref="A24:H24"/>
    <mergeCell ref="A25:H25"/>
    <mergeCell ref="A22:H23"/>
    <mergeCell ref="I22:I23"/>
    <mergeCell ref="J22:J23"/>
    <mergeCell ref="K22:K23"/>
    <mergeCell ref="A20:H20"/>
    <mergeCell ref="A21:I21"/>
    <mergeCell ref="A19:H19"/>
    <mergeCell ref="L22:O22"/>
    <mergeCell ref="A15:H15"/>
    <mergeCell ref="A16:H16"/>
    <mergeCell ref="A17:H17"/>
    <mergeCell ref="A18:H18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(7.3*K30*12)+(2217.3*9.22*12)</f>
        <v>583948.632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38687.244</v>
      </c>
    </row>
    <row r="13" spans="1:9" ht="15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K30*I20*12</f>
        <v>101587.968</v>
      </c>
    </row>
    <row r="14" spans="1:9" ht="12" customHeight="1">
      <c r="A14" s="125" t="s">
        <v>43</v>
      </c>
      <c r="B14" s="126"/>
      <c r="C14" s="126"/>
      <c r="D14" s="126"/>
      <c r="E14" s="126"/>
      <c r="F14" s="126"/>
      <c r="G14" s="126"/>
      <c r="H14" s="127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21"/>
      <c r="I15" s="19">
        <f>SUM(I11:I13)*12%</f>
        <v>86906.86127999998</v>
      </c>
    </row>
    <row r="16" spans="1:9" ht="11.25" customHeight="1">
      <c r="A16" s="119" t="s">
        <v>46</v>
      </c>
      <c r="B16" s="120"/>
      <c r="C16" s="120"/>
      <c r="D16" s="120"/>
      <c r="E16" s="120"/>
      <c r="F16" s="120"/>
      <c r="G16" s="120"/>
      <c r="H16" s="121"/>
      <c r="I16" s="8">
        <f>I15</f>
        <v>86906.86127999998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SUM(I11:I13)-I15</f>
        <v>637316.98272</v>
      </c>
    </row>
    <row r="18" spans="1:9" ht="23.25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3.25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3.5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10500</v>
      </c>
      <c r="M25" s="6">
        <f aca="true" t="shared" si="1" ref="M25:M31">P25/4</f>
        <v>10500</v>
      </c>
      <c r="N25" s="6">
        <f aca="true" t="shared" si="2" ref="N25:N31">P25/4</f>
        <v>10500</v>
      </c>
      <c r="O25" s="6">
        <f aca="true" t="shared" si="3" ref="O25:O31">P25/4</f>
        <v>10500</v>
      </c>
      <c r="P25" s="8">
        <v>42000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6082.9</v>
      </c>
      <c r="L26" s="8">
        <f t="shared" si="0"/>
        <v>10949.22</v>
      </c>
      <c r="M26" s="8">
        <f t="shared" si="1"/>
        <v>10949.22</v>
      </c>
      <c r="N26" s="8">
        <f t="shared" si="2"/>
        <v>10949.22</v>
      </c>
      <c r="O26" s="8">
        <f t="shared" si="3"/>
        <v>10949.22</v>
      </c>
      <c r="P26" s="8">
        <f>J26*K26*12</f>
        <v>43796.88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6082.9</v>
      </c>
      <c r="L27" s="8">
        <f t="shared" si="0"/>
        <v>20621.030999999995</v>
      </c>
      <c r="M27" s="8">
        <f t="shared" si="1"/>
        <v>20621.030999999995</v>
      </c>
      <c r="N27" s="8">
        <f t="shared" si="2"/>
        <v>20621.030999999995</v>
      </c>
      <c r="O27" s="8">
        <f t="shared" si="3"/>
        <v>20621.030999999995</v>
      </c>
      <c r="P27" s="8">
        <f>K27*J27*12</f>
        <v>82484.12399999998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6082.9</v>
      </c>
      <c r="L28" s="8">
        <f t="shared" si="0"/>
        <v>8576.889</v>
      </c>
      <c r="M28" s="8">
        <f t="shared" si="1"/>
        <v>8576.889</v>
      </c>
      <c r="N28" s="8">
        <f t="shared" si="2"/>
        <v>8576.889</v>
      </c>
      <c r="O28" s="8">
        <f t="shared" si="3"/>
        <v>8576.889</v>
      </c>
      <c r="P28" s="8">
        <f>K28*J28*12</f>
        <v>34307.556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12500</v>
      </c>
      <c r="M29" s="6">
        <f t="shared" si="1"/>
        <v>12500</v>
      </c>
      <c r="N29" s="6">
        <f t="shared" si="2"/>
        <v>12500</v>
      </c>
      <c r="O29" s="6">
        <f t="shared" si="3"/>
        <v>12500</v>
      </c>
      <c r="P29" s="6">
        <v>50000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3865.6</v>
      </c>
      <c r="L30" s="8">
        <f t="shared" si="0"/>
        <v>13916.159999999998</v>
      </c>
      <c r="M30" s="8">
        <f t="shared" si="1"/>
        <v>13916.159999999998</v>
      </c>
      <c r="N30" s="8">
        <f t="shared" si="2"/>
        <v>13916.159999999998</v>
      </c>
      <c r="O30" s="8">
        <f t="shared" si="3"/>
        <v>13916.159999999998</v>
      </c>
      <c r="P30" s="8">
        <f>J30*K30*12</f>
        <v>55664.63999999999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3865.6</v>
      </c>
      <c r="L31" s="8">
        <f t="shared" si="0"/>
        <v>9277.44</v>
      </c>
      <c r="M31" s="8">
        <f t="shared" si="1"/>
        <v>9277.44</v>
      </c>
      <c r="N31" s="8">
        <f t="shared" si="2"/>
        <v>9277.44</v>
      </c>
      <c r="O31" s="8">
        <f t="shared" si="3"/>
        <v>9277.44</v>
      </c>
      <c r="P31" s="8">
        <f>K31*J31*12</f>
        <v>37109.76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31814</v>
      </c>
      <c r="M33" s="8">
        <f>P33/4</f>
        <v>31814</v>
      </c>
      <c r="N33" s="8">
        <f>P33/4</f>
        <v>31814</v>
      </c>
      <c r="O33" s="6">
        <f>P33/4</f>
        <v>31814</v>
      </c>
      <c r="P33" s="8">
        <v>127256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1949</v>
      </c>
      <c r="L34" s="6"/>
      <c r="M34" s="8">
        <f>P34/2</f>
        <v>974.5</v>
      </c>
      <c r="N34" s="6"/>
      <c r="O34" s="8">
        <f>P34/2</f>
        <v>974.5</v>
      </c>
      <c r="P34" s="8">
        <f>K34*J34</f>
        <v>1949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6082.9</v>
      </c>
      <c r="L36" s="8">
        <f>P36/4</f>
        <v>8759.376</v>
      </c>
      <c r="M36" s="8">
        <f>P36/4</f>
        <v>8759.376</v>
      </c>
      <c r="N36" s="8">
        <f>P36/4</f>
        <v>8759.376</v>
      </c>
      <c r="O36" s="8">
        <f>P36/4</f>
        <v>8759.376</v>
      </c>
      <c r="P36" s="8">
        <f>K36*J36*12</f>
        <v>35037.504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3865.6</v>
      </c>
      <c r="L38" s="6">
        <f>P38/4</f>
        <v>22033.92</v>
      </c>
      <c r="M38" s="8">
        <f>P38/4</f>
        <v>22033.92</v>
      </c>
      <c r="N38" s="8">
        <f>P38/4</f>
        <v>22033.92</v>
      </c>
      <c r="O38" s="8">
        <f>P38/4</f>
        <v>22033.92</v>
      </c>
      <c r="P38" s="8">
        <f>K38*J38*12</f>
        <v>88135.68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8759.25</v>
      </c>
      <c r="M40" s="8">
        <f>P40/4</f>
        <v>8759.25</v>
      </c>
      <c r="N40" s="8">
        <f>P40/4</f>
        <v>8759.25</v>
      </c>
      <c r="O40" s="8">
        <f>P40/4</f>
        <v>8759.25</v>
      </c>
      <c r="P40" s="6">
        <v>35037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96</v>
      </c>
      <c r="L41" s="8">
        <f>J41*K41*3</f>
        <v>1134.72</v>
      </c>
      <c r="M41" s="8">
        <f>L41</f>
        <v>1134.72</v>
      </c>
      <c r="N41" s="8">
        <f>M41</f>
        <v>1134.72</v>
      </c>
      <c r="O41" s="8">
        <f>N41</f>
        <v>1134.72</v>
      </c>
      <c r="P41" s="8">
        <f>K41*J41*12</f>
        <v>4538.88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158842.00600000002</v>
      </c>
      <c r="M42" s="14">
        <f>SUM(M25:M41)</f>
        <v>159816.50600000002</v>
      </c>
      <c r="N42" s="14">
        <f>SUM(N25:N41)</f>
        <v>158842.00600000002</v>
      </c>
      <c r="O42" s="14">
        <f>SUM(O25:O41)</f>
        <v>159816.50600000002</v>
      </c>
      <c r="P42" s="14">
        <f>SUM(P25:P41)</f>
        <v>637317.0240000001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86906.86127999998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724223.88528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42:H42"/>
    <mergeCell ref="A43:H43"/>
    <mergeCell ref="A44:H44"/>
    <mergeCell ref="A45:H45"/>
    <mergeCell ref="A40:H40"/>
    <mergeCell ref="A41:H41"/>
    <mergeCell ref="A36:H36"/>
    <mergeCell ref="A37:H37"/>
    <mergeCell ref="A38:H38"/>
    <mergeCell ref="A32:G32"/>
    <mergeCell ref="A33:H33"/>
    <mergeCell ref="A34:H34"/>
    <mergeCell ref="A39:H39"/>
    <mergeCell ref="L22:O22"/>
    <mergeCell ref="P22:P23"/>
    <mergeCell ref="A24:H24"/>
    <mergeCell ref="A25:H25"/>
    <mergeCell ref="A22:H23"/>
    <mergeCell ref="I22:I23"/>
    <mergeCell ref="J22:J23"/>
    <mergeCell ref="K22:K23"/>
    <mergeCell ref="A20:H20"/>
    <mergeCell ref="A21:I21"/>
    <mergeCell ref="A19:H19"/>
    <mergeCell ref="A35:H35"/>
    <mergeCell ref="A26:H26"/>
    <mergeCell ref="A27:H27"/>
    <mergeCell ref="A28:H28"/>
    <mergeCell ref="A29:H29"/>
    <mergeCell ref="A30:H30"/>
    <mergeCell ref="A31:H31"/>
    <mergeCell ref="A15:H15"/>
    <mergeCell ref="A16:H16"/>
    <mergeCell ref="A17:H17"/>
    <mergeCell ref="A18:H18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278970.95999999996</v>
      </c>
    </row>
    <row r="12" spans="1:9" ht="23.2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20254.056</v>
      </c>
    </row>
    <row r="13" spans="1:9" ht="13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K30*I20*12</f>
        <v>83691.288</v>
      </c>
    </row>
    <row r="14" spans="1:9" ht="12" customHeight="1">
      <c r="A14" s="125" t="s">
        <v>43</v>
      </c>
      <c r="B14" s="126"/>
      <c r="C14" s="126"/>
      <c r="D14" s="126"/>
      <c r="E14" s="126"/>
      <c r="F14" s="126"/>
      <c r="G14" s="126"/>
      <c r="H14" s="127"/>
      <c r="I14" s="16"/>
    </row>
    <row r="15" spans="1:9" ht="12" customHeight="1">
      <c r="A15" s="119" t="s">
        <v>44</v>
      </c>
      <c r="B15" s="120"/>
      <c r="C15" s="120"/>
      <c r="D15" s="120"/>
      <c r="E15" s="120"/>
      <c r="F15" s="120"/>
      <c r="G15" s="120"/>
      <c r="H15" s="121"/>
      <c r="I15" s="19">
        <f>SUM(I11:I13)*12%</f>
        <v>45949.95647999999</v>
      </c>
    </row>
    <row r="16" spans="1:9" ht="11.25" customHeight="1">
      <c r="A16" s="119" t="s">
        <v>46</v>
      </c>
      <c r="B16" s="120"/>
      <c r="C16" s="120"/>
      <c r="D16" s="120"/>
      <c r="E16" s="120"/>
      <c r="F16" s="120"/>
      <c r="G16" s="120"/>
      <c r="H16" s="121"/>
      <c r="I16" s="8">
        <f>I15</f>
        <v>45949.95647999999</v>
      </c>
    </row>
    <row r="17" spans="1:9" ht="12" customHeight="1">
      <c r="A17" s="88" t="s">
        <v>4</v>
      </c>
      <c r="B17" s="89"/>
      <c r="C17" s="89"/>
      <c r="D17" s="89"/>
      <c r="E17" s="89"/>
      <c r="F17" s="89"/>
      <c r="G17" s="89"/>
      <c r="H17" s="90"/>
      <c r="I17" s="14">
        <f>SUM(I11:I13)-I15</f>
        <v>336966.34751999995</v>
      </c>
    </row>
    <row r="18" spans="1:9" ht="21" customHeight="1">
      <c r="A18" s="85" t="s">
        <v>5</v>
      </c>
      <c r="B18" s="86"/>
      <c r="C18" s="86"/>
      <c r="D18" s="86"/>
      <c r="E18" s="86"/>
      <c r="F18" s="86"/>
      <c r="G18" s="86"/>
      <c r="H18" s="87"/>
      <c r="I18" s="6">
        <v>7.3</v>
      </c>
    </row>
    <row r="19" spans="1:9" ht="22.5" customHeight="1">
      <c r="A19" s="86" t="s">
        <v>101</v>
      </c>
      <c r="B19" s="86"/>
      <c r="C19" s="86"/>
      <c r="D19" s="86"/>
      <c r="E19" s="86"/>
      <c r="F19" s="86"/>
      <c r="G19" s="86"/>
      <c r="H19" s="86"/>
      <c r="I19" s="6">
        <v>0.53</v>
      </c>
    </row>
    <row r="20" spans="1:9" ht="13.5" customHeight="1">
      <c r="A20" s="86" t="s">
        <v>103</v>
      </c>
      <c r="B20" s="86"/>
      <c r="C20" s="86"/>
      <c r="D20" s="86"/>
      <c r="E20" s="86"/>
      <c r="F20" s="86"/>
      <c r="G20" s="86"/>
      <c r="H20" s="87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3500</v>
      </c>
      <c r="M25" s="6">
        <f aca="true" t="shared" si="1" ref="M25:M31">P25/4</f>
        <v>3500</v>
      </c>
      <c r="N25" s="6">
        <f aca="true" t="shared" si="2" ref="N25:N31">P25/4</f>
        <v>3500</v>
      </c>
      <c r="O25" s="6">
        <f aca="true" t="shared" si="3" ref="O25:O31">P25/4</f>
        <v>3500</v>
      </c>
      <c r="P25" s="8">
        <v>14000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v>3184.6</v>
      </c>
      <c r="L26" s="8">
        <f t="shared" si="0"/>
        <v>5732.279999999999</v>
      </c>
      <c r="M26" s="8">
        <f t="shared" si="1"/>
        <v>5732.279999999999</v>
      </c>
      <c r="N26" s="8">
        <f t="shared" si="2"/>
        <v>5732.279999999999</v>
      </c>
      <c r="O26" s="8">
        <f t="shared" si="3"/>
        <v>5732.279999999999</v>
      </c>
      <c r="P26" s="8">
        <f>J26*K26*12</f>
        <v>22929.119999999995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3184.6</v>
      </c>
      <c r="L27" s="8">
        <f t="shared" si="0"/>
        <v>10795.793999999998</v>
      </c>
      <c r="M27" s="8">
        <f t="shared" si="1"/>
        <v>10795.793999999998</v>
      </c>
      <c r="N27" s="8">
        <f t="shared" si="2"/>
        <v>10795.793999999998</v>
      </c>
      <c r="O27" s="8">
        <f t="shared" si="3"/>
        <v>10795.793999999998</v>
      </c>
      <c r="P27" s="8">
        <f>K27*J27*12</f>
        <v>43183.17599999999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3184.6</v>
      </c>
      <c r="L28" s="8">
        <f t="shared" si="0"/>
        <v>4490.286</v>
      </c>
      <c r="M28" s="8">
        <f t="shared" si="1"/>
        <v>4490.286</v>
      </c>
      <c r="N28" s="8">
        <f t="shared" si="2"/>
        <v>4490.286</v>
      </c>
      <c r="O28" s="8">
        <f t="shared" si="3"/>
        <v>4490.286</v>
      </c>
      <c r="P28" s="8">
        <f>K28*J28*12</f>
        <v>17961.144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5000</v>
      </c>
      <c r="M29" s="6">
        <f t="shared" si="1"/>
        <v>5000</v>
      </c>
      <c r="N29" s="6">
        <f t="shared" si="2"/>
        <v>5000</v>
      </c>
      <c r="O29" s="6">
        <f t="shared" si="3"/>
        <v>5000</v>
      </c>
      <c r="P29" s="6">
        <v>20000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3184.6</v>
      </c>
      <c r="L30" s="8">
        <f t="shared" si="0"/>
        <v>11464.559999999998</v>
      </c>
      <c r="M30" s="8">
        <f t="shared" si="1"/>
        <v>11464.559999999998</v>
      </c>
      <c r="N30" s="8">
        <f t="shared" si="2"/>
        <v>11464.559999999998</v>
      </c>
      <c r="O30" s="8">
        <f t="shared" si="3"/>
        <v>11464.559999999998</v>
      </c>
      <c r="P30" s="8">
        <f>J30*K30*12</f>
        <v>45858.23999999999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3184.6</v>
      </c>
      <c r="L31" s="8">
        <f t="shared" si="0"/>
        <v>7643.040000000001</v>
      </c>
      <c r="M31" s="8">
        <f t="shared" si="1"/>
        <v>7643.040000000001</v>
      </c>
      <c r="N31" s="8">
        <f t="shared" si="2"/>
        <v>7643.040000000001</v>
      </c>
      <c r="O31" s="8">
        <f t="shared" si="3"/>
        <v>7643.040000000001</v>
      </c>
      <c r="P31" s="8">
        <f>K31*J31*12</f>
        <v>30572.160000000003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7243.5</v>
      </c>
      <c r="M33" s="8">
        <f>P33/4</f>
        <v>7243.5</v>
      </c>
      <c r="N33" s="8">
        <f>P33/4</f>
        <v>7243.5</v>
      </c>
      <c r="O33" s="8">
        <f>P33/4</f>
        <v>7243.5</v>
      </c>
      <c r="P33" s="8">
        <v>28974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600</v>
      </c>
      <c r="L34" s="6"/>
      <c r="M34" s="8">
        <f>P34/2</f>
        <v>300</v>
      </c>
      <c r="N34" s="6"/>
      <c r="O34" s="8">
        <f>P34/2</f>
        <v>300</v>
      </c>
      <c r="P34" s="8">
        <f>K34*J34</f>
        <v>600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3184.6</v>
      </c>
      <c r="L36" s="8">
        <f>P36/4</f>
        <v>4585.824</v>
      </c>
      <c r="M36" s="8">
        <f>P36/4</f>
        <v>4585.824</v>
      </c>
      <c r="N36" s="8">
        <f>P36/4</f>
        <v>4585.824</v>
      </c>
      <c r="O36" s="8">
        <f>P36/4</f>
        <v>4585.824</v>
      </c>
      <c r="P36" s="8">
        <f>K36*J36*12</f>
        <v>18343.296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3184.6</v>
      </c>
      <c r="L38" s="6">
        <f>P38/4</f>
        <v>18152.22</v>
      </c>
      <c r="M38" s="8">
        <f>P38/4</f>
        <v>18152.22</v>
      </c>
      <c r="N38" s="8">
        <f>P38/4</f>
        <v>18152.22</v>
      </c>
      <c r="O38" s="8">
        <f>P38/4</f>
        <v>18152.22</v>
      </c>
      <c r="P38" s="8">
        <f>K38*J38*12</f>
        <v>72608.88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4585.75</v>
      </c>
      <c r="M40" s="8">
        <f>P40/4</f>
        <v>4585.75</v>
      </c>
      <c r="N40" s="8">
        <f>P40/4</f>
        <v>4585.75</v>
      </c>
      <c r="O40" s="8">
        <f>P40/4</f>
        <v>4585.75</v>
      </c>
      <c r="P40" s="6">
        <v>18343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76</v>
      </c>
      <c r="L41" s="8">
        <f>J41*K41*3</f>
        <v>898.3199999999999</v>
      </c>
      <c r="M41" s="8">
        <f>L41</f>
        <v>898.3199999999999</v>
      </c>
      <c r="N41" s="8">
        <f>M41</f>
        <v>898.3199999999999</v>
      </c>
      <c r="O41" s="8">
        <f>N41</f>
        <v>898.3199999999999</v>
      </c>
      <c r="P41" s="8">
        <f>K41*J41*12</f>
        <v>3593.2799999999997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84091.57400000001</v>
      </c>
      <c r="M42" s="14">
        <f>SUM(M25:M41)</f>
        <v>84391.57400000001</v>
      </c>
      <c r="N42" s="14">
        <f>SUM(N25:N41)</f>
        <v>84091.57400000001</v>
      </c>
      <c r="O42" s="14">
        <f>SUM(O25:O41)</f>
        <v>84391.57400000001</v>
      </c>
      <c r="P42" s="14">
        <f>SUM(P25:P41)</f>
        <v>336966.29600000003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45949.95647999999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382916.25248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1:B1"/>
    <mergeCell ref="A3:B3"/>
    <mergeCell ref="L3:P3"/>
    <mergeCell ref="L4:P4"/>
    <mergeCell ref="A6:P6"/>
    <mergeCell ref="A7:P7"/>
    <mergeCell ref="A9:H9"/>
    <mergeCell ref="A10:H10"/>
    <mergeCell ref="A11:H11"/>
    <mergeCell ref="A12:H12"/>
    <mergeCell ref="A13:H13"/>
    <mergeCell ref="A14:H14"/>
    <mergeCell ref="A20:H20"/>
    <mergeCell ref="A21:I21"/>
    <mergeCell ref="A19:H19"/>
    <mergeCell ref="A15:H15"/>
    <mergeCell ref="A16:H16"/>
    <mergeCell ref="A17:H17"/>
    <mergeCell ref="A18:H18"/>
    <mergeCell ref="L22:O22"/>
    <mergeCell ref="P22:P23"/>
    <mergeCell ref="A24:H24"/>
    <mergeCell ref="A25:H25"/>
    <mergeCell ref="A22:H23"/>
    <mergeCell ref="I22:I23"/>
    <mergeCell ref="J22:J23"/>
    <mergeCell ref="K22:K23"/>
    <mergeCell ref="A26:H26"/>
    <mergeCell ref="A27:H27"/>
    <mergeCell ref="A28:H28"/>
    <mergeCell ref="A29:H29"/>
    <mergeCell ref="A30:H30"/>
    <mergeCell ref="A31:H31"/>
    <mergeCell ref="A32:G32"/>
    <mergeCell ref="A33:H33"/>
    <mergeCell ref="A34:H34"/>
    <mergeCell ref="A39:H39"/>
    <mergeCell ref="A40:H40"/>
    <mergeCell ref="A41:H41"/>
    <mergeCell ref="A35:H35"/>
    <mergeCell ref="A36:H36"/>
    <mergeCell ref="A37:H37"/>
    <mergeCell ref="A38:H38"/>
    <mergeCell ref="A42:H42"/>
    <mergeCell ref="A43:H43"/>
    <mergeCell ref="A44:H44"/>
    <mergeCell ref="A45:H45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9">
      <selection activeCell="R30" sqref="R3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2.09765625" style="0" customWidth="1"/>
    <col min="7" max="7" width="1.1015625" style="0" customWidth="1"/>
    <col min="8" max="8" width="0.3046875" style="0" customWidth="1"/>
    <col min="9" max="9" width="8.09765625" style="0" customWidth="1"/>
    <col min="10" max="10" width="5.8984375" style="0" customWidth="1"/>
    <col min="11" max="11" width="7.8984375" style="0" customWidth="1"/>
    <col min="12" max="12" width="7.59765625" style="0" customWidth="1"/>
    <col min="13" max="13" width="6.8984375" style="0" customWidth="1"/>
    <col min="14" max="14" width="6.09765625" style="0" customWidth="1"/>
    <col min="15" max="15" width="6.3984375" style="0" customWidth="1"/>
    <col min="16" max="16" width="7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51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5.7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2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4">
        <v>0</v>
      </c>
    </row>
    <row r="11" spans="1:9" ht="19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5.79*K28*12</f>
        <v>699678.8855999999</v>
      </c>
    </row>
    <row r="12" spans="1:9" ht="19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K28*I20*12</f>
        <v>64046.5992</v>
      </c>
    </row>
    <row r="13" spans="1:9" ht="20.25" customHeight="1">
      <c r="A13" s="62" t="s">
        <v>105</v>
      </c>
      <c r="B13" s="62"/>
      <c r="C13" s="62"/>
      <c r="D13" s="62"/>
      <c r="E13" s="62"/>
      <c r="F13" s="62"/>
      <c r="G13" s="62"/>
      <c r="H13" s="62"/>
      <c r="I13" s="8">
        <f>K28*I21*12</f>
        <v>325066.7016</v>
      </c>
    </row>
    <row r="14" spans="1:9" ht="10.5" customHeight="1">
      <c r="A14" s="62" t="s">
        <v>106</v>
      </c>
      <c r="B14" s="62"/>
      <c r="C14" s="62"/>
      <c r="D14" s="62"/>
      <c r="E14" s="62"/>
      <c r="F14" s="62"/>
      <c r="G14" s="62"/>
      <c r="H14" s="62"/>
      <c r="I14" s="8">
        <f>K28*I22*12</f>
        <v>264645.38159999996</v>
      </c>
    </row>
    <row r="15" spans="1:9" ht="13.5" customHeight="1">
      <c r="A15" s="125" t="s">
        <v>43</v>
      </c>
      <c r="B15" s="126"/>
      <c r="C15" s="126"/>
      <c r="D15" s="126"/>
      <c r="E15" s="126"/>
      <c r="F15" s="126"/>
      <c r="G15" s="126"/>
      <c r="H15" s="127"/>
      <c r="I15" s="16"/>
    </row>
    <row r="16" spans="1:9" ht="10.5" customHeight="1">
      <c r="A16" s="119" t="s">
        <v>44</v>
      </c>
      <c r="B16" s="120"/>
      <c r="C16" s="120"/>
      <c r="D16" s="120"/>
      <c r="E16" s="120"/>
      <c r="F16" s="120"/>
      <c r="G16" s="120"/>
      <c r="H16" s="121"/>
      <c r="I16" s="19">
        <f>SUM(I11:I14)*12%</f>
        <v>162412.50816</v>
      </c>
    </row>
    <row r="17" spans="1:9" ht="10.5" customHeight="1">
      <c r="A17" s="91" t="s">
        <v>46</v>
      </c>
      <c r="B17" s="92"/>
      <c r="C17" s="92"/>
      <c r="D17" s="92"/>
      <c r="E17" s="92"/>
      <c r="F17" s="92"/>
      <c r="G17" s="92"/>
      <c r="H17" s="93"/>
      <c r="I17" s="8">
        <f>162413</f>
        <v>162413</v>
      </c>
    </row>
    <row r="18" spans="1:9" ht="13.5" customHeight="1">
      <c r="A18" s="124" t="s">
        <v>4</v>
      </c>
      <c r="B18" s="124"/>
      <c r="C18" s="124"/>
      <c r="D18" s="124"/>
      <c r="E18" s="124"/>
      <c r="F18" s="124"/>
      <c r="G18" s="124"/>
      <c r="H18" s="124"/>
      <c r="I18" s="14">
        <f>SUM(I11:I14)-I17</f>
        <v>1191024.568</v>
      </c>
    </row>
    <row r="19" spans="1:9" ht="21" customHeight="1">
      <c r="A19" s="62" t="s">
        <v>5</v>
      </c>
      <c r="B19" s="62"/>
      <c r="C19" s="62"/>
      <c r="D19" s="62"/>
      <c r="E19" s="62"/>
      <c r="F19" s="62"/>
      <c r="G19" s="62"/>
      <c r="H19" s="62"/>
      <c r="I19" s="6">
        <v>5.79</v>
      </c>
    </row>
    <row r="20" spans="1:9" ht="23.25" customHeight="1">
      <c r="A20" s="62" t="s">
        <v>101</v>
      </c>
      <c r="B20" s="62"/>
      <c r="C20" s="62"/>
      <c r="D20" s="62"/>
      <c r="E20" s="62"/>
      <c r="F20" s="62"/>
      <c r="G20" s="62"/>
      <c r="H20" s="62"/>
      <c r="I20" s="6">
        <v>0.53</v>
      </c>
    </row>
    <row r="21" spans="1:9" ht="21" customHeight="1">
      <c r="A21" s="62" t="s">
        <v>102</v>
      </c>
      <c r="B21" s="62"/>
      <c r="C21" s="62"/>
      <c r="D21" s="62"/>
      <c r="E21" s="62"/>
      <c r="F21" s="62"/>
      <c r="G21" s="62"/>
      <c r="H21" s="62"/>
      <c r="I21" s="6">
        <v>2.69</v>
      </c>
    </row>
    <row r="22" spans="1:9" ht="15.75" customHeight="1">
      <c r="A22" s="62" t="s">
        <v>103</v>
      </c>
      <c r="B22" s="62"/>
      <c r="C22" s="62"/>
      <c r="D22" s="62"/>
      <c r="E22" s="62"/>
      <c r="F22" s="62"/>
      <c r="G22" s="62"/>
      <c r="H22" s="62"/>
      <c r="I22" s="6">
        <v>2.19</v>
      </c>
    </row>
    <row r="23" spans="1:9" ht="15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16" ht="15" customHeight="1">
      <c r="A24" s="101" t="s">
        <v>7</v>
      </c>
      <c r="B24" s="101"/>
      <c r="C24" s="101"/>
      <c r="D24" s="101"/>
      <c r="E24" s="101"/>
      <c r="F24" s="101"/>
      <c r="G24" s="101"/>
      <c r="H24" s="101"/>
      <c r="I24" s="102" t="s">
        <v>8</v>
      </c>
      <c r="J24" s="102" t="s">
        <v>9</v>
      </c>
      <c r="K24" s="102" t="s">
        <v>10</v>
      </c>
      <c r="L24" s="99" t="s">
        <v>11</v>
      </c>
      <c r="M24" s="99"/>
      <c r="N24" s="99"/>
      <c r="O24" s="100"/>
      <c r="P24" s="101" t="s">
        <v>16</v>
      </c>
    </row>
    <row r="25" spans="1:16" ht="18.75" customHeight="1">
      <c r="A25" s="101"/>
      <c r="B25" s="101"/>
      <c r="C25" s="101"/>
      <c r="D25" s="101"/>
      <c r="E25" s="101"/>
      <c r="F25" s="101"/>
      <c r="G25" s="101"/>
      <c r="H25" s="101"/>
      <c r="I25" s="103"/>
      <c r="J25" s="103"/>
      <c r="K25" s="103"/>
      <c r="L25" s="6" t="s">
        <v>12</v>
      </c>
      <c r="M25" s="6" t="s">
        <v>13</v>
      </c>
      <c r="N25" s="6" t="s">
        <v>14</v>
      </c>
      <c r="O25" s="6" t="s">
        <v>15</v>
      </c>
      <c r="P25" s="101"/>
    </row>
    <row r="26" spans="1:16" ht="15">
      <c r="A26" s="45" t="s">
        <v>17</v>
      </c>
      <c r="B26" s="46"/>
      <c r="C26" s="46"/>
      <c r="D26" s="46"/>
      <c r="E26" s="46"/>
      <c r="F26" s="46"/>
      <c r="G26" s="46"/>
      <c r="H26" s="47"/>
      <c r="I26" s="5"/>
      <c r="J26" s="2"/>
      <c r="K26" s="2"/>
      <c r="L26" s="6"/>
      <c r="M26" s="6"/>
      <c r="N26" s="6"/>
      <c r="O26" s="6"/>
      <c r="P26" s="2"/>
    </row>
    <row r="27" spans="1:16" ht="15">
      <c r="A27" s="48" t="s">
        <v>18</v>
      </c>
      <c r="B27" s="49"/>
      <c r="C27" s="49"/>
      <c r="D27" s="49"/>
      <c r="E27" s="49"/>
      <c r="F27" s="49"/>
      <c r="G27" s="49"/>
      <c r="H27" s="84"/>
      <c r="I27" s="5"/>
      <c r="J27" s="2"/>
      <c r="K27" s="2"/>
      <c r="L27" s="8">
        <f>P27/4</f>
        <v>7500</v>
      </c>
      <c r="M27" s="8">
        <f>P27/4</f>
        <v>7500</v>
      </c>
      <c r="N27" s="8">
        <f>P27/4</f>
        <v>7500</v>
      </c>
      <c r="O27" s="8">
        <f>P27/4</f>
        <v>7500</v>
      </c>
      <c r="P27" s="8">
        <v>30000</v>
      </c>
    </row>
    <row r="28" spans="1:18" ht="22.5">
      <c r="A28" s="48" t="s">
        <v>19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0.52</v>
      </c>
      <c r="K28" s="6">
        <v>10070.22</v>
      </c>
      <c r="L28" s="8">
        <v>15709.5</v>
      </c>
      <c r="M28" s="6">
        <v>15709.5</v>
      </c>
      <c r="N28" s="6">
        <v>15709.5</v>
      </c>
      <c r="O28" s="6">
        <v>15709.5</v>
      </c>
      <c r="P28" s="8">
        <f>J28*K28*12</f>
        <v>62838.1728</v>
      </c>
      <c r="R28" s="12"/>
    </row>
    <row r="29" spans="1:16" ht="22.5">
      <c r="A29" s="48" t="s">
        <v>20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0.9</v>
      </c>
      <c r="K29" s="6">
        <v>10070.22</v>
      </c>
      <c r="L29" s="8">
        <v>27189.5</v>
      </c>
      <c r="M29" s="6">
        <v>27189.5</v>
      </c>
      <c r="N29" s="6">
        <v>27189.5</v>
      </c>
      <c r="O29" s="6">
        <v>27189.5</v>
      </c>
      <c r="P29" s="8">
        <f>K29*J29*12</f>
        <v>108758.376</v>
      </c>
    </row>
    <row r="30" spans="1:16" ht="22.5">
      <c r="A30" s="48" t="s">
        <v>21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0.38</v>
      </c>
      <c r="K30" s="6">
        <v>10070.22</v>
      </c>
      <c r="L30" s="6">
        <v>11480</v>
      </c>
      <c r="M30" s="6">
        <v>11480</v>
      </c>
      <c r="N30" s="6">
        <v>11480</v>
      </c>
      <c r="O30" s="6">
        <v>11480</v>
      </c>
      <c r="P30" s="8">
        <f>K30*J30*12</f>
        <v>45920.203199999996</v>
      </c>
    </row>
    <row r="31" spans="1:16" ht="21.75" customHeight="1">
      <c r="A31" s="85" t="s">
        <v>39</v>
      </c>
      <c r="B31" s="86"/>
      <c r="C31" s="86"/>
      <c r="D31" s="86"/>
      <c r="E31" s="86"/>
      <c r="F31" s="86"/>
      <c r="G31" s="86"/>
      <c r="H31" s="87"/>
      <c r="I31" s="4" t="s">
        <v>23</v>
      </c>
      <c r="J31" s="6"/>
      <c r="K31" s="6"/>
      <c r="L31" s="6">
        <f>P31/4</f>
        <v>9250</v>
      </c>
      <c r="M31" s="6">
        <f>P31/4</f>
        <v>9250</v>
      </c>
      <c r="N31" s="6">
        <f>P31/4</f>
        <v>9250</v>
      </c>
      <c r="O31" s="6">
        <f>P31/4</f>
        <v>9250</v>
      </c>
      <c r="P31" s="6">
        <v>37000</v>
      </c>
    </row>
    <row r="32" spans="1:16" ht="22.5">
      <c r="A32" s="48" t="s">
        <v>40</v>
      </c>
      <c r="B32" s="49"/>
      <c r="C32" s="49"/>
      <c r="D32" s="49"/>
      <c r="E32" s="49"/>
      <c r="F32" s="49"/>
      <c r="G32" s="49"/>
      <c r="H32" s="84"/>
      <c r="I32" s="4" t="s">
        <v>23</v>
      </c>
      <c r="J32" s="6">
        <v>0.95</v>
      </c>
      <c r="K32" s="6">
        <v>10070.22</v>
      </c>
      <c r="L32" s="6">
        <v>28700</v>
      </c>
      <c r="M32" s="6">
        <v>28700</v>
      </c>
      <c r="N32" s="6">
        <v>28700</v>
      </c>
      <c r="O32" s="6">
        <v>28701</v>
      </c>
      <c r="P32" s="8">
        <f>J32*K32*12</f>
        <v>114800.50799999999</v>
      </c>
    </row>
    <row r="33" spans="1:16" ht="22.5" customHeight="1">
      <c r="A33" s="48" t="s">
        <v>41</v>
      </c>
      <c r="B33" s="49"/>
      <c r="C33" s="49"/>
      <c r="D33" s="49"/>
      <c r="E33" s="49"/>
      <c r="F33" s="49"/>
      <c r="G33" s="49"/>
      <c r="H33" s="84"/>
      <c r="I33" s="4" t="s">
        <v>23</v>
      </c>
      <c r="J33" s="6">
        <v>0.8</v>
      </c>
      <c r="K33" s="6">
        <v>10070.22</v>
      </c>
      <c r="L33" s="8">
        <v>24168.5</v>
      </c>
      <c r="M33" s="8">
        <v>24168.5</v>
      </c>
      <c r="N33" s="6">
        <v>24168.5</v>
      </c>
      <c r="O33" s="6">
        <v>24168.5</v>
      </c>
      <c r="P33" s="8">
        <f>J33*K33*12</f>
        <v>96674.112</v>
      </c>
    </row>
    <row r="34" spans="1:16" ht="16.5" customHeight="1">
      <c r="A34" s="48" t="s">
        <v>47</v>
      </c>
      <c r="B34" s="49"/>
      <c r="C34" s="49"/>
      <c r="D34" s="49"/>
      <c r="E34" s="49"/>
      <c r="F34" s="49"/>
      <c r="G34" s="49"/>
      <c r="H34" s="17"/>
      <c r="I34" s="4" t="s">
        <v>24</v>
      </c>
      <c r="J34" s="6">
        <v>200</v>
      </c>
      <c r="K34" s="6">
        <v>5</v>
      </c>
      <c r="L34" s="6">
        <v>3000</v>
      </c>
      <c r="M34" s="6">
        <v>3000</v>
      </c>
      <c r="N34" s="6">
        <v>3000</v>
      </c>
      <c r="O34" s="6">
        <v>3000</v>
      </c>
      <c r="P34" s="8">
        <f>SUM(L34:O34)</f>
        <v>12000</v>
      </c>
    </row>
    <row r="35" spans="1:16" ht="24" customHeight="1">
      <c r="A35" s="85" t="s">
        <v>48</v>
      </c>
      <c r="B35" s="86"/>
      <c r="C35" s="86"/>
      <c r="D35" s="86"/>
      <c r="E35" s="86"/>
      <c r="F35" s="86"/>
      <c r="G35" s="86"/>
      <c r="H35" s="87"/>
      <c r="I35" s="5"/>
      <c r="J35" s="6"/>
      <c r="K35" s="2"/>
      <c r="L35" s="8">
        <f>P35/4</f>
        <v>10979.5</v>
      </c>
      <c r="M35" s="8">
        <f>P35/4</f>
        <v>10979.5</v>
      </c>
      <c r="N35" s="6">
        <f>P35/4</f>
        <v>10979.5</v>
      </c>
      <c r="O35" s="6">
        <f>P35/4</f>
        <v>10979.5</v>
      </c>
      <c r="P35" s="8">
        <v>43918</v>
      </c>
    </row>
    <row r="36" spans="1:18" ht="15">
      <c r="A36" s="48" t="s">
        <v>49</v>
      </c>
      <c r="B36" s="49"/>
      <c r="C36" s="49"/>
      <c r="D36" s="49"/>
      <c r="E36" s="49"/>
      <c r="F36" s="49"/>
      <c r="G36" s="49"/>
      <c r="H36" s="84"/>
      <c r="I36" s="6" t="s">
        <v>25</v>
      </c>
      <c r="J36" s="6">
        <v>1</v>
      </c>
      <c r="K36" s="6">
        <v>1561.7</v>
      </c>
      <c r="L36" s="6"/>
      <c r="M36" s="8">
        <v>780.85</v>
      </c>
      <c r="N36" s="6"/>
      <c r="O36" s="8">
        <v>780.85</v>
      </c>
      <c r="P36" s="8">
        <f>K36*J36</f>
        <v>1561.7</v>
      </c>
      <c r="R36" s="12"/>
    </row>
    <row r="37" spans="1:18" ht="11.25" customHeight="1">
      <c r="A37" s="45" t="s">
        <v>107</v>
      </c>
      <c r="B37" s="46"/>
      <c r="C37" s="46"/>
      <c r="D37" s="46"/>
      <c r="E37" s="46"/>
      <c r="F37" s="46"/>
      <c r="G37" s="46"/>
      <c r="H37" s="47"/>
      <c r="I37" s="6"/>
      <c r="J37" s="6"/>
      <c r="K37" s="6"/>
      <c r="L37" s="6"/>
      <c r="M37" s="8"/>
      <c r="N37" s="6"/>
      <c r="O37" s="8"/>
      <c r="P37" s="8"/>
      <c r="R37" s="12"/>
    </row>
    <row r="38" spans="1:18" ht="21.75" customHeight="1">
      <c r="A38" s="48" t="s">
        <v>108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0.48</v>
      </c>
      <c r="K38" s="6">
        <v>10070.22</v>
      </c>
      <c r="L38" s="8">
        <f>P38/4</f>
        <v>14501.116799999998</v>
      </c>
      <c r="M38" s="8">
        <f>P38/4</f>
        <v>14501.116799999998</v>
      </c>
      <c r="N38" s="6">
        <f>P38/4</f>
        <v>14501.116799999998</v>
      </c>
      <c r="O38" s="8">
        <f>P38/4</f>
        <v>14501.116799999998</v>
      </c>
      <c r="P38" s="8">
        <f>K38*J38*12</f>
        <v>58004.46719999999</v>
      </c>
      <c r="R38" s="12"/>
    </row>
    <row r="39" spans="1:18" ht="11.25" customHeight="1">
      <c r="A39" s="45" t="s">
        <v>109</v>
      </c>
      <c r="B39" s="46"/>
      <c r="C39" s="46"/>
      <c r="D39" s="46"/>
      <c r="E39" s="46"/>
      <c r="F39" s="46"/>
      <c r="G39" s="46"/>
      <c r="H39" s="47"/>
      <c r="I39" s="6"/>
      <c r="J39" s="6"/>
      <c r="K39" s="6"/>
      <c r="L39" s="6"/>
      <c r="M39" s="8"/>
      <c r="N39" s="6"/>
      <c r="O39" s="8"/>
      <c r="P39" s="8"/>
      <c r="R39" s="12"/>
    </row>
    <row r="40" spans="1:18" ht="21" customHeight="1">
      <c r="A40" s="48" t="s">
        <v>110</v>
      </c>
      <c r="B40" s="49"/>
      <c r="C40" s="49"/>
      <c r="D40" s="49"/>
      <c r="E40" s="49"/>
      <c r="F40" s="49"/>
      <c r="G40" s="49"/>
      <c r="H40" s="84"/>
      <c r="I40" s="4" t="s">
        <v>23</v>
      </c>
      <c r="J40" s="6">
        <v>2.34</v>
      </c>
      <c r="K40" s="6">
        <v>10070.22</v>
      </c>
      <c r="L40" s="8">
        <f>P40/4</f>
        <v>70692.9444</v>
      </c>
      <c r="M40" s="8">
        <f>P40/4</f>
        <v>70692.9444</v>
      </c>
      <c r="N40" s="6">
        <f>P40/4</f>
        <v>70692.9444</v>
      </c>
      <c r="O40" s="8">
        <f>P40/4</f>
        <v>70692.9444</v>
      </c>
      <c r="P40" s="8">
        <f>K40*J40*12</f>
        <v>282771.7776</v>
      </c>
      <c r="R40" s="12"/>
    </row>
    <row r="41" spans="1:18" ht="12.75" customHeight="1">
      <c r="A41" s="45" t="s">
        <v>111</v>
      </c>
      <c r="B41" s="46"/>
      <c r="C41" s="46"/>
      <c r="D41" s="46"/>
      <c r="E41" s="46"/>
      <c r="F41" s="46"/>
      <c r="G41" s="46"/>
      <c r="H41" s="47"/>
      <c r="I41" s="4"/>
      <c r="J41" s="6"/>
      <c r="K41" s="6"/>
      <c r="L41" s="6"/>
      <c r="M41" s="8"/>
      <c r="N41" s="6"/>
      <c r="O41" s="8"/>
      <c r="P41" s="8"/>
      <c r="R41" s="12"/>
    </row>
    <row r="42" spans="1:18" ht="21" customHeight="1">
      <c r="A42" s="48" t="s">
        <v>112</v>
      </c>
      <c r="B42" s="49"/>
      <c r="C42" s="49"/>
      <c r="D42" s="49"/>
      <c r="E42" s="49"/>
      <c r="F42" s="49"/>
      <c r="G42" s="49"/>
      <c r="H42" s="84"/>
      <c r="I42" s="4" t="s">
        <v>23</v>
      </c>
      <c r="J42" s="6">
        <v>1.9</v>
      </c>
      <c r="K42" s="6">
        <v>10070.22</v>
      </c>
      <c r="L42" s="8">
        <f>P42/4</f>
        <v>57400.25399999999</v>
      </c>
      <c r="M42" s="8">
        <f>P42/4</f>
        <v>57400.25399999999</v>
      </c>
      <c r="N42" s="6">
        <f>P42/4</f>
        <v>57400.25399999999</v>
      </c>
      <c r="O42" s="8">
        <f>P42/4</f>
        <v>57400.25399999999</v>
      </c>
      <c r="P42" s="8">
        <f>K42*J42*12</f>
        <v>229601.01599999997</v>
      </c>
      <c r="R42" s="12"/>
    </row>
    <row r="43" spans="1:16" ht="15">
      <c r="A43" s="45" t="s">
        <v>113</v>
      </c>
      <c r="B43" s="46"/>
      <c r="C43" s="46"/>
      <c r="D43" s="46"/>
      <c r="E43" s="46"/>
      <c r="F43" s="46"/>
      <c r="G43" s="46"/>
      <c r="H43" s="47"/>
      <c r="I43" s="5"/>
      <c r="J43" s="6"/>
      <c r="K43" s="2"/>
      <c r="L43" s="2"/>
      <c r="M43" s="2"/>
      <c r="N43" s="2"/>
      <c r="O43" s="2"/>
      <c r="P43" s="6"/>
    </row>
    <row r="44" spans="1:16" ht="21" customHeight="1">
      <c r="A44" s="85" t="s">
        <v>114</v>
      </c>
      <c r="B44" s="86"/>
      <c r="C44" s="86"/>
      <c r="D44" s="86"/>
      <c r="E44" s="86"/>
      <c r="F44" s="86"/>
      <c r="G44" s="86"/>
      <c r="H44" s="87"/>
      <c r="I44" s="2"/>
      <c r="J44" s="6"/>
      <c r="K44" s="2"/>
      <c r="L44" s="8">
        <f>P44/4</f>
        <v>14501</v>
      </c>
      <c r="M44" s="8">
        <f>P44/4</f>
        <v>14501</v>
      </c>
      <c r="N44" s="6">
        <f>P44/4</f>
        <v>14501</v>
      </c>
      <c r="O44" s="6">
        <f>P44/4</f>
        <v>14501</v>
      </c>
      <c r="P44" s="8">
        <v>58004</v>
      </c>
    </row>
    <row r="45" spans="1:16" ht="13.5" customHeight="1">
      <c r="A45" s="85" t="s">
        <v>115</v>
      </c>
      <c r="B45" s="86"/>
      <c r="C45" s="86"/>
      <c r="D45" s="86"/>
      <c r="E45" s="86"/>
      <c r="F45" s="86"/>
      <c r="G45" s="86"/>
      <c r="H45" s="87"/>
      <c r="I45" s="6" t="s">
        <v>27</v>
      </c>
      <c r="J45" s="6">
        <v>3.94</v>
      </c>
      <c r="K45" s="6">
        <v>194</v>
      </c>
      <c r="L45" s="8">
        <f>J45*K45*3</f>
        <v>2293.08</v>
      </c>
      <c r="M45" s="8">
        <f>L45</f>
        <v>2293.08</v>
      </c>
      <c r="N45" s="8">
        <f>M45</f>
        <v>2293.08</v>
      </c>
      <c r="O45" s="8">
        <f>N45</f>
        <v>2293.08</v>
      </c>
      <c r="P45" s="8">
        <f>J45*K45*12</f>
        <v>9172.32</v>
      </c>
    </row>
    <row r="46" spans="1:17" ht="14.25" customHeight="1">
      <c r="A46" s="45" t="s">
        <v>28</v>
      </c>
      <c r="B46" s="46"/>
      <c r="C46" s="46"/>
      <c r="D46" s="46"/>
      <c r="E46" s="46"/>
      <c r="F46" s="46"/>
      <c r="G46" s="46"/>
      <c r="H46" s="47"/>
      <c r="I46" s="2"/>
      <c r="J46" s="6"/>
      <c r="K46" s="2"/>
      <c r="L46" s="14">
        <f>SUM(L27:L45)</f>
        <v>297365.3952</v>
      </c>
      <c r="M46" s="14">
        <f>SUM(M27:M45)</f>
        <v>298146.2452</v>
      </c>
      <c r="N46" s="14">
        <f>SUM(N27:N45)</f>
        <v>297365.3952</v>
      </c>
      <c r="O46" s="14">
        <f>SUM(O27:O45)</f>
        <v>298147.2452</v>
      </c>
      <c r="P46" s="14">
        <f>SUM(P27:P45)</f>
        <v>1191024.6528</v>
      </c>
      <c r="Q46" s="15"/>
    </row>
    <row r="47" spans="1:16" ht="11.25" customHeight="1">
      <c r="A47" s="85" t="s">
        <v>123</v>
      </c>
      <c r="B47" s="86"/>
      <c r="C47" s="86"/>
      <c r="D47" s="86"/>
      <c r="E47" s="86"/>
      <c r="F47" s="86"/>
      <c r="G47" s="86"/>
      <c r="H47" s="87"/>
      <c r="I47" s="2"/>
      <c r="J47" s="6"/>
      <c r="K47" s="2"/>
      <c r="L47" s="13"/>
      <c r="M47" s="13"/>
      <c r="N47" s="13"/>
      <c r="O47" s="13"/>
      <c r="P47" s="8">
        <f>I17</f>
        <v>162413</v>
      </c>
    </row>
    <row r="48" spans="1:16" ht="12.75" customHeight="1">
      <c r="A48" s="88" t="s">
        <v>29</v>
      </c>
      <c r="B48" s="89"/>
      <c r="C48" s="89"/>
      <c r="D48" s="89"/>
      <c r="E48" s="89"/>
      <c r="F48" s="89"/>
      <c r="G48" s="89"/>
      <c r="H48" s="90"/>
      <c r="I48" s="2"/>
      <c r="J48" s="6"/>
      <c r="K48" s="2"/>
      <c r="L48" s="13"/>
      <c r="M48" s="13"/>
      <c r="N48" s="13"/>
      <c r="O48" s="13"/>
      <c r="P48" s="14">
        <f>P46+P47</f>
        <v>1353437.6528</v>
      </c>
    </row>
    <row r="49" spans="1:19" ht="12" customHeight="1">
      <c r="A49" s="48" t="s">
        <v>30</v>
      </c>
      <c r="B49" s="49"/>
      <c r="C49" s="49"/>
      <c r="D49" s="49"/>
      <c r="E49" s="49"/>
      <c r="F49" s="49"/>
      <c r="G49" s="49"/>
      <c r="H49" s="84"/>
      <c r="I49" s="2"/>
      <c r="J49" s="6"/>
      <c r="K49" s="2"/>
      <c r="L49" s="2"/>
      <c r="M49" s="2"/>
      <c r="N49" s="2"/>
      <c r="O49" s="2"/>
      <c r="P49" s="6">
        <v>0</v>
      </c>
      <c r="Q49" s="15"/>
      <c r="S49" s="15"/>
    </row>
  </sheetData>
  <mergeCells count="51">
    <mergeCell ref="A49:H49"/>
    <mergeCell ref="A44:H44"/>
    <mergeCell ref="A45:H45"/>
    <mergeCell ref="A46:H46"/>
    <mergeCell ref="A47:H47"/>
    <mergeCell ref="A35:H35"/>
    <mergeCell ref="A36:H36"/>
    <mergeCell ref="A43:H43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G34"/>
    <mergeCell ref="A27:H27"/>
    <mergeCell ref="A28:H28"/>
    <mergeCell ref="A29:H29"/>
    <mergeCell ref="A30:H30"/>
    <mergeCell ref="K24:K25"/>
    <mergeCell ref="L24:O24"/>
    <mergeCell ref="P24:P25"/>
    <mergeCell ref="A26:H26"/>
    <mergeCell ref="A23:I23"/>
    <mergeCell ref="A24:H25"/>
    <mergeCell ref="I24:I25"/>
    <mergeCell ref="J24:J25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  <mergeCell ref="A20:H20"/>
    <mergeCell ref="A21:H21"/>
    <mergeCell ref="A22:H22"/>
    <mergeCell ref="A15:H15"/>
    <mergeCell ref="A16:H16"/>
    <mergeCell ref="A17:H17"/>
    <mergeCell ref="A18:H18"/>
    <mergeCell ref="A19:H19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6">
      <selection activeCell="L42" sqref="L42:O42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1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7.3*K26*12</f>
        <v>159545.88</v>
      </c>
    </row>
    <row r="12" spans="1:9" ht="20.2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K26*I19*12</f>
        <v>11583.468</v>
      </c>
    </row>
    <row r="13" spans="1:9" ht="18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K30*I20*12</f>
        <v>47863.763999999996</v>
      </c>
    </row>
    <row r="14" spans="1:9" ht="12" customHeight="1">
      <c r="A14" s="138" t="s">
        <v>43</v>
      </c>
      <c r="B14" s="138"/>
      <c r="C14" s="138"/>
      <c r="D14" s="138"/>
      <c r="E14" s="138"/>
      <c r="F14" s="138"/>
      <c r="G14" s="138"/>
      <c r="H14" s="138"/>
      <c r="I14" s="16"/>
    </row>
    <row r="15" spans="1:9" ht="12" customHeight="1">
      <c r="A15" s="137" t="s">
        <v>44</v>
      </c>
      <c r="B15" s="137"/>
      <c r="C15" s="137"/>
      <c r="D15" s="137"/>
      <c r="E15" s="137"/>
      <c r="F15" s="137"/>
      <c r="G15" s="137"/>
      <c r="H15" s="137"/>
      <c r="I15" s="19">
        <f>SUM(I11:I13)*12%</f>
        <v>26279.17344</v>
      </c>
    </row>
    <row r="16" spans="1:9" ht="11.25" customHeight="1">
      <c r="A16" s="137" t="s">
        <v>46</v>
      </c>
      <c r="B16" s="137"/>
      <c r="C16" s="137"/>
      <c r="D16" s="137"/>
      <c r="E16" s="137"/>
      <c r="F16" s="137"/>
      <c r="G16" s="137"/>
      <c r="H16" s="137"/>
      <c r="I16" s="8">
        <f>I15</f>
        <v>26279.17344</v>
      </c>
    </row>
    <row r="17" spans="1:9" ht="12" customHeight="1">
      <c r="A17" s="124" t="s">
        <v>4</v>
      </c>
      <c r="B17" s="124"/>
      <c r="C17" s="124"/>
      <c r="D17" s="124"/>
      <c r="E17" s="124"/>
      <c r="F17" s="124"/>
      <c r="G17" s="124"/>
      <c r="H17" s="124"/>
      <c r="I17" s="14">
        <f>SUM(I11:I13)-I15</f>
        <v>192713.93855999998</v>
      </c>
    </row>
    <row r="18" spans="1:9" ht="21.75" customHeight="1">
      <c r="A18" s="62" t="s">
        <v>5</v>
      </c>
      <c r="B18" s="62"/>
      <c r="C18" s="62"/>
      <c r="D18" s="62"/>
      <c r="E18" s="62"/>
      <c r="F18" s="62"/>
      <c r="G18" s="62"/>
      <c r="H18" s="62"/>
      <c r="I18" s="6">
        <v>7.3</v>
      </c>
    </row>
    <row r="19" spans="1:9" ht="23.25" customHeight="1">
      <c r="A19" s="62" t="s">
        <v>101</v>
      </c>
      <c r="B19" s="62"/>
      <c r="C19" s="62"/>
      <c r="D19" s="62"/>
      <c r="E19" s="62"/>
      <c r="F19" s="62"/>
      <c r="G19" s="62"/>
      <c r="H19" s="62"/>
      <c r="I19" s="6">
        <v>0.53</v>
      </c>
    </row>
    <row r="20" spans="1:9" ht="13.5" customHeight="1">
      <c r="A20" s="62" t="s">
        <v>103</v>
      </c>
      <c r="B20" s="62"/>
      <c r="C20" s="62"/>
      <c r="D20" s="62"/>
      <c r="E20" s="62"/>
      <c r="F20" s="62"/>
      <c r="G20" s="62"/>
      <c r="H20" s="62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6" ht="15">
      <c r="A25" s="48" t="s">
        <v>18</v>
      </c>
      <c r="B25" s="49"/>
      <c r="C25" s="49"/>
      <c r="D25" s="49"/>
      <c r="E25" s="49"/>
      <c r="F25" s="49"/>
      <c r="G25" s="49"/>
      <c r="H25" s="84"/>
      <c r="I25" s="5"/>
      <c r="J25" s="2"/>
      <c r="K25" s="2"/>
      <c r="L25" s="6">
        <f aca="true" t="shared" si="0" ref="L25:L31">P25/4</f>
        <v>2000</v>
      </c>
      <c r="M25" s="6">
        <f aca="true" t="shared" si="1" ref="M25:M31">P25/4</f>
        <v>2000</v>
      </c>
      <c r="N25" s="6">
        <f aca="true" t="shared" si="2" ref="N25:N31">P25/4</f>
        <v>2000</v>
      </c>
      <c r="O25" s="6">
        <f aca="true" t="shared" si="3" ref="O25:O31">P25/4</f>
        <v>2000</v>
      </c>
      <c r="P25" s="8">
        <v>8000</v>
      </c>
    </row>
    <row r="26" spans="1:18" ht="22.5">
      <c r="A26" s="48" t="s">
        <v>19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0.6</v>
      </c>
      <c r="K26" s="6">
        <f>1821.3</f>
        <v>1821.3</v>
      </c>
      <c r="L26" s="8">
        <f t="shared" si="0"/>
        <v>3278.34</v>
      </c>
      <c r="M26" s="8">
        <f t="shared" si="1"/>
        <v>3278.34</v>
      </c>
      <c r="N26" s="8">
        <f t="shared" si="2"/>
        <v>3278.34</v>
      </c>
      <c r="O26" s="8">
        <f t="shared" si="3"/>
        <v>3278.34</v>
      </c>
      <c r="P26" s="8">
        <f>J26*K26*12</f>
        <v>13113.36</v>
      </c>
      <c r="R26" s="12"/>
    </row>
    <row r="27" spans="1:16" ht="22.5">
      <c r="A27" s="48" t="s">
        <v>20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1.13</v>
      </c>
      <c r="K27" s="6">
        <v>1821.3</v>
      </c>
      <c r="L27" s="8">
        <f t="shared" si="0"/>
        <v>6174.207</v>
      </c>
      <c r="M27" s="8">
        <f t="shared" si="1"/>
        <v>6174.207</v>
      </c>
      <c r="N27" s="8">
        <f t="shared" si="2"/>
        <v>6174.207</v>
      </c>
      <c r="O27" s="8">
        <f t="shared" si="3"/>
        <v>6174.207</v>
      </c>
      <c r="P27" s="8">
        <f>K27*J27*12</f>
        <v>24696.828</v>
      </c>
    </row>
    <row r="28" spans="1:16" ht="22.5">
      <c r="A28" s="48" t="s">
        <v>21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0.47</v>
      </c>
      <c r="K28" s="6">
        <v>1821.3</v>
      </c>
      <c r="L28" s="8">
        <f t="shared" si="0"/>
        <v>2568.033</v>
      </c>
      <c r="M28" s="8">
        <f t="shared" si="1"/>
        <v>2568.033</v>
      </c>
      <c r="N28" s="8">
        <f t="shared" si="2"/>
        <v>2568.033</v>
      </c>
      <c r="O28" s="8">
        <f t="shared" si="3"/>
        <v>2568.033</v>
      </c>
      <c r="P28" s="8">
        <f>K28*J28*12</f>
        <v>10272.132</v>
      </c>
    </row>
    <row r="29" spans="1:16" ht="21.75" customHeight="1">
      <c r="A29" s="85" t="s">
        <v>39</v>
      </c>
      <c r="B29" s="86"/>
      <c r="C29" s="86"/>
      <c r="D29" s="86"/>
      <c r="E29" s="86"/>
      <c r="F29" s="86"/>
      <c r="G29" s="86"/>
      <c r="H29" s="87"/>
      <c r="I29" s="4" t="s">
        <v>23</v>
      </c>
      <c r="J29" s="6"/>
      <c r="K29" s="6"/>
      <c r="L29" s="6">
        <f t="shared" si="0"/>
        <v>3500</v>
      </c>
      <c r="M29" s="6">
        <f t="shared" si="1"/>
        <v>3500</v>
      </c>
      <c r="N29" s="6">
        <f t="shared" si="2"/>
        <v>3500</v>
      </c>
      <c r="O29" s="6">
        <f t="shared" si="3"/>
        <v>3500</v>
      </c>
      <c r="P29" s="6">
        <v>14000</v>
      </c>
    </row>
    <row r="30" spans="1:16" ht="22.5">
      <c r="A30" s="48" t="s">
        <v>40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1.2</v>
      </c>
      <c r="K30" s="6">
        <v>1821.3</v>
      </c>
      <c r="L30" s="8">
        <f t="shared" si="0"/>
        <v>6556.68</v>
      </c>
      <c r="M30" s="8">
        <f t="shared" si="1"/>
        <v>6556.68</v>
      </c>
      <c r="N30" s="8">
        <f t="shared" si="2"/>
        <v>6556.68</v>
      </c>
      <c r="O30" s="8">
        <f t="shared" si="3"/>
        <v>6556.68</v>
      </c>
      <c r="P30" s="8">
        <f>J30*K30*12</f>
        <v>26226.72</v>
      </c>
    </row>
    <row r="31" spans="1:16" ht="22.5" customHeight="1">
      <c r="A31" s="48" t="s">
        <v>41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0.8</v>
      </c>
      <c r="K31" s="6">
        <v>1821.3</v>
      </c>
      <c r="L31" s="8">
        <f t="shared" si="0"/>
        <v>4371.12</v>
      </c>
      <c r="M31" s="8">
        <f t="shared" si="1"/>
        <v>4371.12</v>
      </c>
      <c r="N31" s="8">
        <f t="shared" si="2"/>
        <v>4371.12</v>
      </c>
      <c r="O31" s="8">
        <f t="shared" si="3"/>
        <v>4371.12</v>
      </c>
      <c r="P31" s="8">
        <f>K31*J31*12</f>
        <v>17484.48</v>
      </c>
    </row>
    <row r="32" spans="1:16" ht="22.5" customHeight="1">
      <c r="A32" s="48" t="s">
        <v>47</v>
      </c>
      <c r="B32" s="49"/>
      <c r="C32" s="49"/>
      <c r="D32" s="49"/>
      <c r="E32" s="49"/>
      <c r="F32" s="49"/>
      <c r="G32" s="49"/>
      <c r="H32" s="17"/>
      <c r="I32" s="4" t="s">
        <v>24</v>
      </c>
      <c r="J32" s="6"/>
      <c r="K32" s="6"/>
      <c r="L32" s="6"/>
      <c r="M32" s="6"/>
      <c r="N32" s="6"/>
      <c r="O32" s="6"/>
      <c r="P32" s="8"/>
    </row>
    <row r="33" spans="1:16" ht="24" customHeight="1">
      <c r="A33" s="85" t="s">
        <v>48</v>
      </c>
      <c r="B33" s="86"/>
      <c r="C33" s="86"/>
      <c r="D33" s="86"/>
      <c r="E33" s="86"/>
      <c r="F33" s="86"/>
      <c r="G33" s="86"/>
      <c r="H33" s="87"/>
      <c r="I33" s="5"/>
      <c r="J33" s="6"/>
      <c r="K33" s="2"/>
      <c r="L33" s="8">
        <f>P33/4</f>
        <v>3612.75</v>
      </c>
      <c r="M33" s="8">
        <f>P33/4</f>
        <v>3612.75</v>
      </c>
      <c r="N33" s="8">
        <f>P33/4</f>
        <v>3612.75</v>
      </c>
      <c r="O33" s="8">
        <f>P33/4</f>
        <v>3612.75</v>
      </c>
      <c r="P33" s="8">
        <v>14451</v>
      </c>
    </row>
    <row r="34" spans="1:18" ht="15">
      <c r="A34" s="48" t="s">
        <v>49</v>
      </c>
      <c r="B34" s="49"/>
      <c r="C34" s="49"/>
      <c r="D34" s="49"/>
      <c r="E34" s="49"/>
      <c r="F34" s="49"/>
      <c r="G34" s="49"/>
      <c r="H34" s="84"/>
      <c r="I34" s="6" t="s">
        <v>25</v>
      </c>
      <c r="J34" s="6">
        <v>1</v>
      </c>
      <c r="K34" s="6">
        <v>543.3</v>
      </c>
      <c r="L34" s="6"/>
      <c r="M34" s="8">
        <f>P34/2</f>
        <v>271.65</v>
      </c>
      <c r="N34" s="6"/>
      <c r="O34" s="8">
        <f>P34/2</f>
        <v>271.65</v>
      </c>
      <c r="P34" s="8">
        <f>K34*J34</f>
        <v>543.3</v>
      </c>
      <c r="R34" s="12"/>
    </row>
    <row r="35" spans="1:18" ht="15">
      <c r="A35" s="45" t="s">
        <v>107</v>
      </c>
      <c r="B35" s="46"/>
      <c r="C35" s="46"/>
      <c r="D35" s="46"/>
      <c r="E35" s="46"/>
      <c r="F35" s="46"/>
      <c r="G35" s="46"/>
      <c r="H35" s="47"/>
      <c r="I35" s="6"/>
      <c r="J35" s="6"/>
      <c r="K35" s="6"/>
      <c r="L35" s="6"/>
      <c r="M35" s="8"/>
      <c r="N35" s="6"/>
      <c r="O35" s="8"/>
      <c r="P35" s="8"/>
      <c r="R35" s="12"/>
    </row>
    <row r="36" spans="1:18" ht="22.5">
      <c r="A36" s="48" t="s">
        <v>108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0.48</v>
      </c>
      <c r="K36" s="6">
        <v>1821.3</v>
      </c>
      <c r="L36" s="8">
        <f>P36/4</f>
        <v>2622.6719999999996</v>
      </c>
      <c r="M36" s="8">
        <f>P36/4</f>
        <v>2622.6719999999996</v>
      </c>
      <c r="N36" s="8">
        <f>P36/4</f>
        <v>2622.6719999999996</v>
      </c>
      <c r="O36" s="8">
        <f>P36/4</f>
        <v>2622.6719999999996</v>
      </c>
      <c r="P36" s="8">
        <f>K36*J36*12</f>
        <v>10490.687999999998</v>
      </c>
      <c r="R36" s="12"/>
    </row>
    <row r="37" spans="1:18" ht="15">
      <c r="A37" s="45" t="s">
        <v>117</v>
      </c>
      <c r="B37" s="46"/>
      <c r="C37" s="46"/>
      <c r="D37" s="46"/>
      <c r="E37" s="46"/>
      <c r="F37" s="46"/>
      <c r="G37" s="46"/>
      <c r="H37" s="47"/>
      <c r="I37" s="4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118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1.9</v>
      </c>
      <c r="K38" s="6">
        <v>1821.3</v>
      </c>
      <c r="L38" s="6">
        <f>P38/4</f>
        <v>10381.41</v>
      </c>
      <c r="M38" s="8">
        <f>P38/4</f>
        <v>10381.41</v>
      </c>
      <c r="N38" s="8">
        <f>P38/4</f>
        <v>10381.41</v>
      </c>
      <c r="O38" s="8">
        <f>P38/4</f>
        <v>10381.41</v>
      </c>
      <c r="P38" s="8">
        <f>K38*J38*12</f>
        <v>41525.64</v>
      </c>
      <c r="R38" s="12"/>
    </row>
    <row r="39" spans="1:16" ht="15">
      <c r="A39" s="45" t="s">
        <v>119</v>
      </c>
      <c r="B39" s="46"/>
      <c r="C39" s="46"/>
      <c r="D39" s="46"/>
      <c r="E39" s="46"/>
      <c r="F39" s="46"/>
      <c r="G39" s="46"/>
      <c r="H39" s="47"/>
      <c r="I39" s="5"/>
      <c r="J39" s="6"/>
      <c r="K39" s="2"/>
      <c r="L39" s="2"/>
      <c r="M39" s="2"/>
      <c r="N39" s="2"/>
      <c r="O39" s="2"/>
      <c r="P39" s="6"/>
    </row>
    <row r="40" spans="1:16" ht="21" customHeight="1">
      <c r="A40" s="85" t="s">
        <v>120</v>
      </c>
      <c r="B40" s="86"/>
      <c r="C40" s="86"/>
      <c r="D40" s="86"/>
      <c r="E40" s="86"/>
      <c r="F40" s="86"/>
      <c r="G40" s="86"/>
      <c r="H40" s="87"/>
      <c r="I40" s="2"/>
      <c r="J40" s="6"/>
      <c r="K40" s="2"/>
      <c r="L40" s="8">
        <f>P40/4</f>
        <v>2622.75</v>
      </c>
      <c r="M40" s="8">
        <f>P40/4</f>
        <v>2622.75</v>
      </c>
      <c r="N40" s="8">
        <f>P40/4</f>
        <v>2622.75</v>
      </c>
      <c r="O40" s="8">
        <f>P40/4</f>
        <v>2622.75</v>
      </c>
      <c r="P40" s="6">
        <v>10491</v>
      </c>
    </row>
    <row r="41" spans="1:16" ht="15" customHeight="1">
      <c r="A41" s="85" t="s">
        <v>121</v>
      </c>
      <c r="B41" s="86"/>
      <c r="C41" s="86"/>
      <c r="D41" s="86"/>
      <c r="E41" s="86"/>
      <c r="F41" s="86"/>
      <c r="G41" s="86"/>
      <c r="H41" s="87"/>
      <c r="I41" s="6" t="s">
        <v>27</v>
      </c>
      <c r="J41" s="6">
        <v>3.94</v>
      </c>
      <c r="K41" s="6">
        <v>30</v>
      </c>
      <c r="L41" s="8">
        <f>J41*K41*3</f>
        <v>354.6</v>
      </c>
      <c r="M41" s="8">
        <f>L41</f>
        <v>354.6</v>
      </c>
      <c r="N41" s="8">
        <f>M41</f>
        <v>354.6</v>
      </c>
      <c r="O41" s="8">
        <f>N41</f>
        <v>354.6</v>
      </c>
      <c r="P41" s="8">
        <f>K41*J41*12</f>
        <v>1418.4</v>
      </c>
    </row>
    <row r="42" spans="1:17" ht="15">
      <c r="A42" s="45" t="s">
        <v>28</v>
      </c>
      <c r="B42" s="46"/>
      <c r="C42" s="46"/>
      <c r="D42" s="46"/>
      <c r="E42" s="46"/>
      <c r="F42" s="46"/>
      <c r="G42" s="46"/>
      <c r="H42" s="47"/>
      <c r="I42" s="2"/>
      <c r="J42" s="6"/>
      <c r="K42" s="2"/>
      <c r="L42" s="14">
        <f>SUM(L25:L41)</f>
        <v>48042.562</v>
      </c>
      <c r="M42" s="14">
        <f>SUM(M25:M41)</f>
        <v>48314.21200000001</v>
      </c>
      <c r="N42" s="14">
        <f>SUM(N25:N41)</f>
        <v>48042.562</v>
      </c>
      <c r="O42" s="14">
        <f>SUM(O25:O41)</f>
        <v>48314.21200000001</v>
      </c>
      <c r="P42" s="14">
        <f>SUM(P25:P41)</f>
        <v>192713.54799999998</v>
      </c>
      <c r="Q42" s="15"/>
    </row>
    <row r="43" spans="1:16" ht="15" customHeight="1">
      <c r="A43" s="85" t="s">
        <v>123</v>
      </c>
      <c r="B43" s="86"/>
      <c r="C43" s="86"/>
      <c r="D43" s="86"/>
      <c r="E43" s="86"/>
      <c r="F43" s="86"/>
      <c r="G43" s="86"/>
      <c r="H43" s="87"/>
      <c r="I43" s="2"/>
      <c r="J43" s="6"/>
      <c r="K43" s="2"/>
      <c r="L43" s="13"/>
      <c r="M43" s="13"/>
      <c r="N43" s="13"/>
      <c r="O43" s="13"/>
      <c r="P43" s="8">
        <f>I16</f>
        <v>26279.17344</v>
      </c>
    </row>
    <row r="44" spans="1:16" ht="15" customHeight="1">
      <c r="A44" s="88" t="s">
        <v>29</v>
      </c>
      <c r="B44" s="89"/>
      <c r="C44" s="89"/>
      <c r="D44" s="89"/>
      <c r="E44" s="89"/>
      <c r="F44" s="89"/>
      <c r="G44" s="89"/>
      <c r="H44" s="90"/>
      <c r="I44" s="2"/>
      <c r="J44" s="6"/>
      <c r="K44" s="2"/>
      <c r="L44" s="13"/>
      <c r="M44" s="13"/>
      <c r="N44" s="13"/>
      <c r="O44" s="13"/>
      <c r="P44" s="14">
        <f>P42+P43</f>
        <v>218992.72144</v>
      </c>
    </row>
    <row r="45" spans="1:19" ht="15">
      <c r="A45" s="48" t="s">
        <v>30</v>
      </c>
      <c r="B45" s="49"/>
      <c r="C45" s="49"/>
      <c r="D45" s="49"/>
      <c r="E45" s="49"/>
      <c r="F45" s="49"/>
      <c r="G45" s="49"/>
      <c r="H45" s="84"/>
      <c r="I45" s="2"/>
      <c r="J45" s="6"/>
      <c r="K45" s="2"/>
      <c r="L45" s="2"/>
      <c r="M45" s="2"/>
      <c r="N45" s="2"/>
      <c r="O45" s="2"/>
      <c r="P45" s="6">
        <v>0</v>
      </c>
      <c r="Q45" s="15"/>
      <c r="S45" s="15"/>
    </row>
  </sheetData>
  <mergeCells count="47">
    <mergeCell ref="A1:B1"/>
    <mergeCell ref="A3:B3"/>
    <mergeCell ref="L3:P3"/>
    <mergeCell ref="L4:P4"/>
    <mergeCell ref="A6:P6"/>
    <mergeCell ref="A7:P7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0:H20"/>
    <mergeCell ref="A21:I21"/>
    <mergeCell ref="A19:H19"/>
    <mergeCell ref="L22:O22"/>
    <mergeCell ref="P22:P23"/>
    <mergeCell ref="A24:H24"/>
    <mergeCell ref="A25:H25"/>
    <mergeCell ref="A22:H23"/>
    <mergeCell ref="I22:I23"/>
    <mergeCell ref="J22:J23"/>
    <mergeCell ref="K22:K23"/>
    <mergeCell ref="A26:H26"/>
    <mergeCell ref="A27:H27"/>
    <mergeCell ref="A28:H28"/>
    <mergeCell ref="A29:H29"/>
    <mergeCell ref="A30:H30"/>
    <mergeCell ref="A31:H31"/>
    <mergeCell ref="A32:G32"/>
    <mergeCell ref="A33:H33"/>
    <mergeCell ref="A34:H34"/>
    <mergeCell ref="A39:H39"/>
    <mergeCell ref="A40:H40"/>
    <mergeCell ref="A41:H41"/>
    <mergeCell ref="A35:H35"/>
    <mergeCell ref="A36:H36"/>
    <mergeCell ref="A37:H37"/>
    <mergeCell ref="A38:H38"/>
    <mergeCell ref="A42:H42"/>
    <mergeCell ref="A43:H43"/>
    <mergeCell ref="A44:H44"/>
    <mergeCell ref="A45:H45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79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273452.16000000003</v>
      </c>
    </row>
    <row r="12" spans="1:9" ht="21.7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19853.376</v>
      </c>
    </row>
    <row r="13" spans="1:9" ht="18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K30*I19*12</f>
        <v>82035.648</v>
      </c>
    </row>
    <row r="14" spans="1:9" ht="12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45040.94208</v>
      </c>
    </row>
    <row r="15" spans="1:9" ht="12" customHeight="1">
      <c r="A15" s="137" t="s">
        <v>46</v>
      </c>
      <c r="B15" s="137"/>
      <c r="C15" s="137"/>
      <c r="D15" s="137"/>
      <c r="E15" s="137"/>
      <c r="F15" s="137"/>
      <c r="G15" s="137"/>
      <c r="H15" s="137"/>
      <c r="I15" s="8">
        <f>I14</f>
        <v>45040.94208</v>
      </c>
    </row>
    <row r="16" spans="1:9" ht="11.25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330300.24192</v>
      </c>
    </row>
    <row r="17" spans="1:9" ht="24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.75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7.25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2500</v>
      </c>
      <c r="M24" s="6">
        <f aca="true" t="shared" si="1" ref="M24:M30">P24/4</f>
        <v>2500</v>
      </c>
      <c r="N24" s="6">
        <f aca="true" t="shared" si="2" ref="N24:N30">P24/4</f>
        <v>2500</v>
      </c>
      <c r="O24" s="6">
        <f aca="true" t="shared" si="3" ref="O24:O30">P24/4</f>
        <v>2500</v>
      </c>
      <c r="P24" s="8">
        <v>10000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3121.6</v>
      </c>
      <c r="L25" s="8">
        <f t="shared" si="0"/>
        <v>5618.879999999999</v>
      </c>
      <c r="M25" s="8">
        <f t="shared" si="1"/>
        <v>5618.879999999999</v>
      </c>
      <c r="N25" s="8">
        <f t="shared" si="2"/>
        <v>5618.879999999999</v>
      </c>
      <c r="O25" s="8">
        <f t="shared" si="3"/>
        <v>5618.879999999999</v>
      </c>
      <c r="P25" s="8">
        <f>J25*K25*12</f>
        <v>22475.519999999997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3121.6</v>
      </c>
      <c r="L26" s="8">
        <f t="shared" si="0"/>
        <v>10582.223999999998</v>
      </c>
      <c r="M26" s="8">
        <f t="shared" si="1"/>
        <v>10582.223999999998</v>
      </c>
      <c r="N26" s="8">
        <f t="shared" si="2"/>
        <v>10582.223999999998</v>
      </c>
      <c r="O26" s="8">
        <f t="shared" si="3"/>
        <v>10582.223999999998</v>
      </c>
      <c r="P26" s="8">
        <f>K26*J26*12</f>
        <v>42328.89599999999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3121.6</v>
      </c>
      <c r="L27" s="8">
        <f t="shared" si="0"/>
        <v>4401.455999999999</v>
      </c>
      <c r="M27" s="8">
        <f t="shared" si="1"/>
        <v>4401.455999999999</v>
      </c>
      <c r="N27" s="8">
        <f t="shared" si="2"/>
        <v>4401.455999999999</v>
      </c>
      <c r="O27" s="8">
        <f t="shared" si="3"/>
        <v>4401.455999999999</v>
      </c>
      <c r="P27" s="8">
        <f>K27*J27*12</f>
        <v>17605.823999999997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5000</v>
      </c>
      <c r="M28" s="6">
        <f t="shared" si="1"/>
        <v>5000</v>
      </c>
      <c r="N28" s="6">
        <f t="shared" si="2"/>
        <v>5000</v>
      </c>
      <c r="O28" s="6">
        <f t="shared" si="3"/>
        <v>5000</v>
      </c>
      <c r="P28" s="6">
        <v>20000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3121.6</v>
      </c>
      <c r="L29" s="8">
        <f t="shared" si="0"/>
        <v>11237.759999999998</v>
      </c>
      <c r="M29" s="8">
        <f t="shared" si="1"/>
        <v>11237.759999999998</v>
      </c>
      <c r="N29" s="8">
        <f t="shared" si="2"/>
        <v>11237.759999999998</v>
      </c>
      <c r="O29" s="8">
        <f t="shared" si="3"/>
        <v>11237.759999999998</v>
      </c>
      <c r="P29" s="8">
        <f>J29*K29*12</f>
        <v>44951.03999999999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3121.6</v>
      </c>
      <c r="L30" s="8">
        <f t="shared" si="0"/>
        <v>8470</v>
      </c>
      <c r="M30" s="8">
        <f t="shared" si="1"/>
        <v>8470</v>
      </c>
      <c r="N30" s="8">
        <f t="shared" si="2"/>
        <v>8470</v>
      </c>
      <c r="O30" s="8">
        <f t="shared" si="3"/>
        <v>8470</v>
      </c>
      <c r="P30" s="8">
        <v>33880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6909.75</v>
      </c>
      <c r="M32" s="8">
        <f>P32/4</f>
        <v>6909.75</v>
      </c>
      <c r="N32" s="8">
        <f>P32/4</f>
        <v>6909.75</v>
      </c>
      <c r="O32" s="8">
        <f>P32/4</f>
        <v>6909.75</v>
      </c>
      <c r="P32" s="8">
        <v>27639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882.3</v>
      </c>
      <c r="L33" s="6"/>
      <c r="M33" s="8">
        <f>P33/2</f>
        <v>441.15</v>
      </c>
      <c r="N33" s="6"/>
      <c r="O33" s="8">
        <f>P33/2</f>
        <v>441.15</v>
      </c>
      <c r="P33" s="8">
        <f>K33*J33</f>
        <v>882.3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3121.6</v>
      </c>
      <c r="L35" s="8">
        <f>P35/4</f>
        <v>4495.103999999999</v>
      </c>
      <c r="M35" s="8">
        <f>P35/4</f>
        <v>4495.103999999999</v>
      </c>
      <c r="N35" s="8">
        <f>P35/4</f>
        <v>4495.103999999999</v>
      </c>
      <c r="O35" s="8">
        <f>P35/4</f>
        <v>4495.103999999999</v>
      </c>
      <c r="P35" s="8">
        <f>K35*J35*12</f>
        <v>17980.415999999997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3121.6</v>
      </c>
      <c r="L37" s="8">
        <f>P37/4</f>
        <v>17793.12</v>
      </c>
      <c r="M37" s="8">
        <f>P37/4</f>
        <v>17793.12</v>
      </c>
      <c r="N37" s="8">
        <f>P37/4</f>
        <v>17793.12</v>
      </c>
      <c r="O37" s="8">
        <f>P37/4</f>
        <v>17793.12</v>
      </c>
      <c r="P37" s="8">
        <f>K37*J37*12</f>
        <v>71172.48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4495</v>
      </c>
      <c r="M39" s="8">
        <f>P39/4</f>
        <v>4495</v>
      </c>
      <c r="N39" s="8">
        <f>P39/4</f>
        <v>4495</v>
      </c>
      <c r="O39" s="8">
        <f>P39/4</f>
        <v>4495</v>
      </c>
      <c r="P39" s="8">
        <v>17980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72</v>
      </c>
      <c r="L40" s="8">
        <f>J40*K40*3</f>
        <v>851.04</v>
      </c>
      <c r="M40" s="8">
        <f>L40</f>
        <v>851.04</v>
      </c>
      <c r="N40" s="8">
        <f>M40</f>
        <v>851.04</v>
      </c>
      <c r="O40" s="8">
        <f>N40</f>
        <v>851.04</v>
      </c>
      <c r="P40" s="8">
        <f>K40*J40*12</f>
        <v>3404.16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82354.33399999999</v>
      </c>
      <c r="M41" s="14">
        <f>SUM(M24:M40)</f>
        <v>82795.48399999998</v>
      </c>
      <c r="N41" s="14">
        <f>SUM(N24:N40)</f>
        <v>82354.33399999999</v>
      </c>
      <c r="O41" s="14">
        <f>SUM(O24:O40)</f>
        <v>82795.48399999998</v>
      </c>
      <c r="P41" s="14">
        <f>SUM(P24:P40)</f>
        <v>330299.63599999994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45040.94208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375340.57807999995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41:H41"/>
    <mergeCell ref="A42:H42"/>
    <mergeCell ref="A43:H43"/>
    <mergeCell ref="A44:H44"/>
    <mergeCell ref="A33:H33"/>
    <mergeCell ref="A38:H38"/>
    <mergeCell ref="A39:H39"/>
    <mergeCell ref="A40:H40"/>
    <mergeCell ref="A34:H34"/>
    <mergeCell ref="A35:H35"/>
    <mergeCell ref="A36:H36"/>
    <mergeCell ref="A37:H37"/>
    <mergeCell ref="A29:H29"/>
    <mergeCell ref="A30:H30"/>
    <mergeCell ref="A31:G31"/>
    <mergeCell ref="A32:H32"/>
    <mergeCell ref="A25:H25"/>
    <mergeCell ref="A26:H26"/>
    <mergeCell ref="A27:H27"/>
    <mergeCell ref="A28:H28"/>
    <mergeCell ref="A23:H23"/>
    <mergeCell ref="A24:H24"/>
    <mergeCell ref="A21:H22"/>
    <mergeCell ref="I21:I22"/>
    <mergeCell ref="A20:I20"/>
    <mergeCell ref="A19:H19"/>
    <mergeCell ref="L21:O21"/>
    <mergeCell ref="P21:P22"/>
    <mergeCell ref="J21:J22"/>
    <mergeCell ref="K21:K22"/>
    <mergeCell ref="A15:H15"/>
    <mergeCell ref="A16:H16"/>
    <mergeCell ref="A17:H17"/>
    <mergeCell ref="A18:H18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39" sqref="P39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(K29*I17*12)+(528.1*2*12)+(359.7*9.22*12)+(453*9.22*12)</f>
        <v>323255.928</v>
      </c>
    </row>
    <row r="12" spans="1:9" ht="23.2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16020.840000000002</v>
      </c>
    </row>
    <row r="13" spans="1:9" ht="15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K30*I19*12</f>
        <v>66199.31999999999</v>
      </c>
    </row>
    <row r="14" spans="1:9" ht="12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48657.130560000005</v>
      </c>
    </row>
    <row r="15" spans="1:9" ht="11.25" customHeight="1">
      <c r="A15" s="137" t="s">
        <v>46</v>
      </c>
      <c r="B15" s="137"/>
      <c r="C15" s="137"/>
      <c r="D15" s="137"/>
      <c r="E15" s="137"/>
      <c r="F15" s="137"/>
      <c r="G15" s="137"/>
      <c r="H15" s="137"/>
      <c r="I15" s="8">
        <f>I14</f>
        <v>48657.130560000005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356818.95744</v>
      </c>
    </row>
    <row r="17" spans="1:9" ht="21.75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0.25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3.5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6500</v>
      </c>
      <c r="M24" s="6">
        <f aca="true" t="shared" si="1" ref="M24:M30">P24/4</f>
        <v>6500</v>
      </c>
      <c r="N24" s="6">
        <f aca="true" t="shared" si="2" ref="N24:N30">P24/4</f>
        <v>6500</v>
      </c>
      <c r="O24" s="6">
        <f aca="true" t="shared" si="3" ref="O24:O30">P24/4</f>
        <v>6500</v>
      </c>
      <c r="P24" s="8">
        <v>26000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2519</v>
      </c>
      <c r="L25" s="8">
        <f t="shared" si="0"/>
        <v>4534.2</v>
      </c>
      <c r="M25" s="8">
        <f t="shared" si="1"/>
        <v>4534.2</v>
      </c>
      <c r="N25" s="8">
        <f t="shared" si="2"/>
        <v>4534.2</v>
      </c>
      <c r="O25" s="8">
        <f t="shared" si="3"/>
        <v>4534.2</v>
      </c>
      <c r="P25" s="8">
        <f>J25*K25*12</f>
        <v>18136.8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2519</v>
      </c>
      <c r="L26" s="8">
        <f t="shared" si="0"/>
        <v>8539.41</v>
      </c>
      <c r="M26" s="8">
        <f t="shared" si="1"/>
        <v>8539.41</v>
      </c>
      <c r="N26" s="8">
        <f t="shared" si="2"/>
        <v>8539.41</v>
      </c>
      <c r="O26" s="8">
        <f t="shared" si="3"/>
        <v>8539.41</v>
      </c>
      <c r="P26" s="8">
        <f>K26*J26*12</f>
        <v>34157.64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f>2519+1340.8</f>
        <v>3859.8</v>
      </c>
      <c r="L27" s="8">
        <f t="shared" si="0"/>
        <v>5442.318</v>
      </c>
      <c r="M27" s="8">
        <f t="shared" si="1"/>
        <v>5442.318</v>
      </c>
      <c r="N27" s="8">
        <f t="shared" si="2"/>
        <v>5442.318</v>
      </c>
      <c r="O27" s="8">
        <f t="shared" si="3"/>
        <v>5442.318</v>
      </c>
      <c r="P27" s="8">
        <f>K27*J27*12</f>
        <v>21769.272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8000</v>
      </c>
      <c r="M28" s="6">
        <f t="shared" si="1"/>
        <v>8000</v>
      </c>
      <c r="N28" s="6">
        <f t="shared" si="2"/>
        <v>8000</v>
      </c>
      <c r="O28" s="6">
        <f t="shared" si="3"/>
        <v>8000</v>
      </c>
      <c r="P28" s="6">
        <v>32000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2519</v>
      </c>
      <c r="L29" s="8">
        <f t="shared" si="0"/>
        <v>9068.4</v>
      </c>
      <c r="M29" s="8">
        <f t="shared" si="1"/>
        <v>9068.4</v>
      </c>
      <c r="N29" s="8">
        <f t="shared" si="2"/>
        <v>9068.4</v>
      </c>
      <c r="O29" s="8">
        <f t="shared" si="3"/>
        <v>9068.4</v>
      </c>
      <c r="P29" s="8">
        <f>J29*K29*12</f>
        <v>36273.6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2519</v>
      </c>
      <c r="L30" s="8">
        <f t="shared" si="0"/>
        <v>6045.6</v>
      </c>
      <c r="M30" s="8">
        <f t="shared" si="1"/>
        <v>6045.6</v>
      </c>
      <c r="N30" s="8">
        <f t="shared" si="2"/>
        <v>6045.6</v>
      </c>
      <c r="O30" s="8">
        <f t="shared" si="3"/>
        <v>6045.6</v>
      </c>
      <c r="P30" s="8">
        <f>K30*J30*12</f>
        <v>24182.4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14618</v>
      </c>
      <c r="M32" s="8">
        <f>P32/4</f>
        <v>14618</v>
      </c>
      <c r="N32" s="8">
        <f>P32/4</f>
        <v>14618</v>
      </c>
      <c r="O32" s="6">
        <f>P32/4</f>
        <v>14618</v>
      </c>
      <c r="P32" s="8">
        <v>58472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903.9</v>
      </c>
      <c r="L33" s="6"/>
      <c r="M33" s="8">
        <f>P33/2</f>
        <v>451.95</v>
      </c>
      <c r="N33" s="6"/>
      <c r="O33" s="8">
        <f>P33/2</f>
        <v>451.95</v>
      </c>
      <c r="P33" s="8">
        <f>K33*J33</f>
        <v>903.9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f>2519+1340.8</f>
        <v>3859.8</v>
      </c>
      <c r="L35" s="8">
        <f>P35/4</f>
        <v>5558.112</v>
      </c>
      <c r="M35" s="8">
        <f>P35/4</f>
        <v>5558.112</v>
      </c>
      <c r="N35" s="8">
        <f>P35/4</f>
        <v>5558.112</v>
      </c>
      <c r="O35" s="8">
        <f>P35/4</f>
        <v>5558.112</v>
      </c>
      <c r="P35" s="8">
        <f>K35*J35*12</f>
        <v>22232.448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2519</v>
      </c>
      <c r="L37" s="6">
        <f>P37/4</f>
        <v>14358.3</v>
      </c>
      <c r="M37" s="8">
        <f>P37/4</f>
        <v>14358.3</v>
      </c>
      <c r="N37" s="8">
        <f>P37/4</f>
        <v>14358.3</v>
      </c>
      <c r="O37" s="8">
        <f>P37/4</f>
        <v>14358.3</v>
      </c>
      <c r="P37" s="8">
        <f>K37*J37*12</f>
        <v>57433.2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5558</v>
      </c>
      <c r="M39" s="8">
        <f>P39/4</f>
        <v>5558</v>
      </c>
      <c r="N39" s="8">
        <f>P39/4</f>
        <v>5558</v>
      </c>
      <c r="O39" s="8">
        <f>P39/4</f>
        <v>5558</v>
      </c>
      <c r="P39" s="8">
        <v>22232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64</v>
      </c>
      <c r="L40" s="8">
        <f>J40*K40*3</f>
        <v>756.48</v>
      </c>
      <c r="M40" s="8">
        <f>L40</f>
        <v>756.48</v>
      </c>
      <c r="N40" s="8">
        <f>M40</f>
        <v>756.48</v>
      </c>
      <c r="O40" s="8">
        <f>N40</f>
        <v>756.48</v>
      </c>
      <c r="P40" s="8">
        <f>K40*J40*12</f>
        <v>3025.92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88978.81999999999</v>
      </c>
      <c r="M41" s="14">
        <f>SUM(M24:M40)</f>
        <v>89430.76999999999</v>
      </c>
      <c r="N41" s="14">
        <f>SUM(N24:N40)</f>
        <v>88978.81999999999</v>
      </c>
      <c r="O41" s="14">
        <f>SUM(O24:O40)</f>
        <v>89430.76999999999</v>
      </c>
      <c r="P41" s="14">
        <f>SUM(P24:P40)</f>
        <v>356819.18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48657.130560000005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405476.31056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:B1"/>
    <mergeCell ref="A3:B3"/>
    <mergeCell ref="L3:P3"/>
    <mergeCell ref="L4:P4"/>
    <mergeCell ref="A6:P6"/>
    <mergeCell ref="A7:P7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9:H19"/>
    <mergeCell ref="A20:I20"/>
    <mergeCell ref="A18:H18"/>
    <mergeCell ref="L21:O21"/>
    <mergeCell ref="P21:P22"/>
    <mergeCell ref="J21:J22"/>
    <mergeCell ref="K21:K22"/>
    <mergeCell ref="A23:H23"/>
    <mergeCell ref="A24:H24"/>
    <mergeCell ref="A21:H22"/>
    <mergeCell ref="I21:I22"/>
    <mergeCell ref="A25:H25"/>
    <mergeCell ref="A26:H26"/>
    <mergeCell ref="A27:H27"/>
    <mergeCell ref="A28:H28"/>
    <mergeCell ref="A29:H29"/>
    <mergeCell ref="A30:H30"/>
    <mergeCell ref="A31:G31"/>
    <mergeCell ref="A32:H32"/>
    <mergeCell ref="A33:H33"/>
    <mergeCell ref="A38:H38"/>
    <mergeCell ref="A39:H39"/>
    <mergeCell ref="A40:H40"/>
    <mergeCell ref="A34:H34"/>
    <mergeCell ref="A35:H35"/>
    <mergeCell ref="A36:H36"/>
    <mergeCell ref="A37:H37"/>
    <mergeCell ref="A41:H41"/>
    <mergeCell ref="A42:H42"/>
    <mergeCell ref="A43:H43"/>
    <mergeCell ref="A44:H4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436265.52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31674.072</v>
      </c>
    </row>
    <row r="13" spans="1:9" ht="16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K27*I19*12</f>
        <v>130879.65599999999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71858.30976</v>
      </c>
    </row>
    <row r="15" spans="1:9" ht="12" customHeight="1">
      <c r="A15" s="137" t="s">
        <v>46</v>
      </c>
      <c r="B15" s="137"/>
      <c r="C15" s="137"/>
      <c r="D15" s="137"/>
      <c r="E15" s="137"/>
      <c r="F15" s="137"/>
      <c r="G15" s="137"/>
      <c r="H15" s="137"/>
      <c r="I15" s="8">
        <f>I14</f>
        <v>71858.30976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526960.93824</v>
      </c>
    </row>
    <row r="17" spans="1:9" ht="21.75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21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4000</v>
      </c>
      <c r="M24" s="6">
        <f aca="true" t="shared" si="1" ref="M24:M30">P24/4</f>
        <v>4000</v>
      </c>
      <c r="N24" s="6">
        <f aca="true" t="shared" si="2" ref="N24:N30">P24/4</f>
        <v>4000</v>
      </c>
      <c r="O24" s="6">
        <f aca="true" t="shared" si="3" ref="O24:O30">P24/4</f>
        <v>4000</v>
      </c>
      <c r="P24" s="8">
        <v>16000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4980.2</v>
      </c>
      <c r="L25" s="8">
        <f t="shared" si="0"/>
        <v>8964.36</v>
      </c>
      <c r="M25" s="8">
        <f t="shared" si="1"/>
        <v>8964.36</v>
      </c>
      <c r="N25" s="8">
        <f t="shared" si="2"/>
        <v>8964.36</v>
      </c>
      <c r="O25" s="8">
        <f t="shared" si="3"/>
        <v>8964.36</v>
      </c>
      <c r="P25" s="8">
        <f>J25*K25*12</f>
        <v>35857.44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4980.2</v>
      </c>
      <c r="L26" s="8">
        <f t="shared" si="0"/>
        <v>16882.877999999997</v>
      </c>
      <c r="M26" s="8">
        <f t="shared" si="1"/>
        <v>16882.877999999997</v>
      </c>
      <c r="N26" s="8">
        <f t="shared" si="2"/>
        <v>16882.877999999997</v>
      </c>
      <c r="O26" s="8">
        <f t="shared" si="3"/>
        <v>16882.877999999997</v>
      </c>
      <c r="P26" s="8">
        <f>K26*J26*12</f>
        <v>67531.51199999999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4980.2</v>
      </c>
      <c r="L27" s="8">
        <f t="shared" si="0"/>
        <v>7022.082</v>
      </c>
      <c r="M27" s="8">
        <f t="shared" si="1"/>
        <v>7022.082</v>
      </c>
      <c r="N27" s="8">
        <f t="shared" si="2"/>
        <v>7022.082</v>
      </c>
      <c r="O27" s="8">
        <f t="shared" si="3"/>
        <v>7022.082</v>
      </c>
      <c r="P27" s="8">
        <f>K27*J27*12</f>
        <v>28088.328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6000</v>
      </c>
      <c r="M28" s="6">
        <f t="shared" si="1"/>
        <v>6000</v>
      </c>
      <c r="N28" s="6">
        <f t="shared" si="2"/>
        <v>6000</v>
      </c>
      <c r="O28" s="6">
        <f t="shared" si="3"/>
        <v>6000</v>
      </c>
      <c r="P28" s="6">
        <v>24000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4980.2</v>
      </c>
      <c r="L29" s="8">
        <f t="shared" si="0"/>
        <v>17928.72</v>
      </c>
      <c r="M29" s="8">
        <f t="shared" si="1"/>
        <v>17928.72</v>
      </c>
      <c r="N29" s="8">
        <f t="shared" si="2"/>
        <v>17928.72</v>
      </c>
      <c r="O29" s="8">
        <f t="shared" si="3"/>
        <v>17928.72</v>
      </c>
      <c r="P29" s="8">
        <f>J29*K29*12</f>
        <v>71714.88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4980.2</v>
      </c>
      <c r="L30" s="8">
        <f t="shared" si="0"/>
        <v>11952.48</v>
      </c>
      <c r="M30" s="8">
        <f t="shared" si="1"/>
        <v>11952.48</v>
      </c>
      <c r="N30" s="8">
        <f t="shared" si="2"/>
        <v>11952.48</v>
      </c>
      <c r="O30" s="8">
        <f t="shared" si="3"/>
        <v>11952.48</v>
      </c>
      <c r="P30" s="8">
        <f>K30*J30*12</f>
        <v>47809.92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14672</v>
      </c>
      <c r="M32" s="8">
        <f>P32/4</f>
        <v>14672</v>
      </c>
      <c r="N32" s="8">
        <f>P32/4</f>
        <v>14672</v>
      </c>
      <c r="O32" s="6">
        <f>P32/4</f>
        <v>14672</v>
      </c>
      <c r="P32" s="8">
        <v>58688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1386.3</v>
      </c>
      <c r="L33" s="6"/>
      <c r="M33" s="8">
        <f>P33/2</f>
        <v>693.15</v>
      </c>
      <c r="N33" s="6"/>
      <c r="O33" s="8">
        <f>P33/2</f>
        <v>693.15</v>
      </c>
      <c r="P33" s="8">
        <f>K33*J33</f>
        <v>1386.3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4980.2</v>
      </c>
      <c r="L35" s="8">
        <f>P35/4</f>
        <v>7171.487999999999</v>
      </c>
      <c r="M35" s="8">
        <f>P35/4</f>
        <v>7171.487999999999</v>
      </c>
      <c r="N35" s="8">
        <f>P35/4</f>
        <v>7171.487999999999</v>
      </c>
      <c r="O35" s="8">
        <f>P35/4</f>
        <v>7171.487999999999</v>
      </c>
      <c r="P35" s="8">
        <f>K35*J35*12</f>
        <v>28685.951999999997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4980.2</v>
      </c>
      <c r="L37" s="8">
        <f>P37/4</f>
        <v>28387.14</v>
      </c>
      <c r="M37" s="8">
        <f>P37/4</f>
        <v>28387.14</v>
      </c>
      <c r="N37" s="8">
        <f>P37/4</f>
        <v>28387.14</v>
      </c>
      <c r="O37" s="8">
        <f>P37/4</f>
        <v>28387.14</v>
      </c>
      <c r="P37" s="8">
        <f>K37*J37*12</f>
        <v>113548.56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7171.5</v>
      </c>
      <c r="M39" s="8">
        <f>P39/4</f>
        <v>7171.5</v>
      </c>
      <c r="N39" s="8">
        <f>P39/4</f>
        <v>7171.5</v>
      </c>
      <c r="O39" s="8">
        <f>P39/4</f>
        <v>7171.5</v>
      </c>
      <c r="P39" s="6">
        <v>28686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105</v>
      </c>
      <c r="L40" s="8">
        <f>J40*K40*3</f>
        <v>1241.1</v>
      </c>
      <c r="M40" s="8">
        <f>L40</f>
        <v>1241.1</v>
      </c>
      <c r="N40" s="8">
        <f>M40</f>
        <v>1241.1</v>
      </c>
      <c r="O40" s="8">
        <f>N40</f>
        <v>1241.1</v>
      </c>
      <c r="P40" s="8">
        <f>K40*J40*12</f>
        <v>4964.4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131393.748</v>
      </c>
      <c r="M41" s="14">
        <f>SUM(M24:M40)</f>
        <v>132086.898</v>
      </c>
      <c r="N41" s="14">
        <f>SUM(N24:N40)</f>
        <v>131393.748</v>
      </c>
      <c r="O41" s="14">
        <f>SUM(O24:O40)</f>
        <v>132086.898</v>
      </c>
      <c r="P41" s="14">
        <f>SUM(P24:P40)</f>
        <v>526961.292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71858.30976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598819.60176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41:H41"/>
    <mergeCell ref="A42:H42"/>
    <mergeCell ref="A43:H43"/>
    <mergeCell ref="A44:H44"/>
    <mergeCell ref="A33:H33"/>
    <mergeCell ref="A38:H38"/>
    <mergeCell ref="A39:H39"/>
    <mergeCell ref="A40:H40"/>
    <mergeCell ref="A34:H34"/>
    <mergeCell ref="A35:H35"/>
    <mergeCell ref="A36:H36"/>
    <mergeCell ref="A37:H37"/>
    <mergeCell ref="A29:H29"/>
    <mergeCell ref="A30:H30"/>
    <mergeCell ref="A31:G31"/>
    <mergeCell ref="A32:H32"/>
    <mergeCell ref="A25:H25"/>
    <mergeCell ref="A26:H26"/>
    <mergeCell ref="A27:H27"/>
    <mergeCell ref="A28:H28"/>
    <mergeCell ref="L21:O21"/>
    <mergeCell ref="P21:P22"/>
    <mergeCell ref="A23:H23"/>
    <mergeCell ref="A24:H24"/>
    <mergeCell ref="A21:H22"/>
    <mergeCell ref="I21:I22"/>
    <mergeCell ref="J21:J22"/>
    <mergeCell ref="K21:K22"/>
    <mergeCell ref="A16:H16"/>
    <mergeCell ref="A17:H17"/>
    <mergeCell ref="A18:H18"/>
    <mergeCell ref="A20:I20"/>
    <mergeCell ref="A19:H19"/>
    <mergeCell ref="A11:H11"/>
    <mergeCell ref="A15:H15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31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(K29*I17*12)+(60.1*4.28*12)+(62.1*2.75*12)+(62.7*2.75*12)</f>
        <v>406258.1759999999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30148.307999999997</v>
      </c>
    </row>
    <row r="13" spans="1:9" ht="19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K30*I19*12</f>
        <v>119715.91199999998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66734.68751999999</v>
      </c>
    </row>
    <row r="15" spans="1:9" ht="12" customHeight="1">
      <c r="A15" s="137" t="s">
        <v>46</v>
      </c>
      <c r="B15" s="137"/>
      <c r="C15" s="137"/>
      <c r="D15" s="137"/>
      <c r="E15" s="137"/>
      <c r="F15" s="137"/>
      <c r="G15" s="137"/>
      <c r="H15" s="137"/>
      <c r="I15" s="8">
        <f>I14</f>
        <v>66734.68751999999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489387.70848</v>
      </c>
    </row>
    <row r="17" spans="1:9" ht="27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6.5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4500</v>
      </c>
      <c r="M24" s="6">
        <f aca="true" t="shared" si="1" ref="M24:M30">P24/4</f>
        <v>4500</v>
      </c>
      <c r="N24" s="6">
        <f aca="true" t="shared" si="2" ref="N24:N30">P24/4</f>
        <v>4500</v>
      </c>
      <c r="O24" s="6">
        <f aca="true" t="shared" si="3" ref="O24:O30">P24/4</f>
        <v>4500</v>
      </c>
      <c r="P24" s="8">
        <v>18000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f>4555.4+184.9</f>
        <v>4740.299999999999</v>
      </c>
      <c r="L25" s="8">
        <f t="shared" si="0"/>
        <v>8532.539999999997</v>
      </c>
      <c r="M25" s="8">
        <f t="shared" si="1"/>
        <v>8532.539999999997</v>
      </c>
      <c r="N25" s="8">
        <f t="shared" si="2"/>
        <v>8532.539999999997</v>
      </c>
      <c r="O25" s="8">
        <f t="shared" si="3"/>
        <v>8532.539999999997</v>
      </c>
      <c r="P25" s="8">
        <f>J25*K25*12</f>
        <v>34130.15999999999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f>4555.4+184.9</f>
        <v>4740.299999999999</v>
      </c>
      <c r="L26" s="8">
        <f t="shared" si="0"/>
        <v>16069.616999999997</v>
      </c>
      <c r="M26" s="8">
        <f t="shared" si="1"/>
        <v>16069.616999999997</v>
      </c>
      <c r="N26" s="8">
        <f t="shared" si="2"/>
        <v>16069.616999999997</v>
      </c>
      <c r="O26" s="8">
        <f t="shared" si="3"/>
        <v>16069.616999999997</v>
      </c>
      <c r="P26" s="8">
        <f>K26*J26*12</f>
        <v>64278.467999999986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f>4555.4+184.9</f>
        <v>4740.299999999999</v>
      </c>
      <c r="L27" s="8">
        <f t="shared" si="0"/>
        <v>6683.8229999999985</v>
      </c>
      <c r="M27" s="8">
        <f t="shared" si="1"/>
        <v>6683.8229999999985</v>
      </c>
      <c r="N27" s="8">
        <f t="shared" si="2"/>
        <v>6683.8229999999985</v>
      </c>
      <c r="O27" s="8">
        <f t="shared" si="3"/>
        <v>6683.8229999999985</v>
      </c>
      <c r="P27" s="8">
        <f>K27*J27*12</f>
        <v>26735.291999999994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7000</v>
      </c>
      <c r="M28" s="6">
        <f t="shared" si="1"/>
        <v>7000</v>
      </c>
      <c r="N28" s="6">
        <f t="shared" si="2"/>
        <v>7000</v>
      </c>
      <c r="O28" s="6">
        <f t="shared" si="3"/>
        <v>7000</v>
      </c>
      <c r="P28" s="6">
        <v>28000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4555.4</v>
      </c>
      <c r="L29" s="8">
        <f t="shared" si="0"/>
        <v>16399.44</v>
      </c>
      <c r="M29" s="8">
        <f t="shared" si="1"/>
        <v>16399.44</v>
      </c>
      <c r="N29" s="8">
        <f t="shared" si="2"/>
        <v>16399.44</v>
      </c>
      <c r="O29" s="8">
        <f t="shared" si="3"/>
        <v>16399.44</v>
      </c>
      <c r="P29" s="8">
        <f>J29*K29*12</f>
        <v>65597.76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4555.4</v>
      </c>
      <c r="L30" s="8">
        <f t="shared" si="0"/>
        <v>10932.96</v>
      </c>
      <c r="M30" s="8">
        <f t="shared" si="1"/>
        <v>10932.96</v>
      </c>
      <c r="N30" s="8">
        <f t="shared" si="2"/>
        <v>10932.96</v>
      </c>
      <c r="O30" s="8">
        <f t="shared" si="3"/>
        <v>10932.96</v>
      </c>
      <c r="P30" s="8">
        <f>K30*J30*12</f>
        <v>43731.84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11352</v>
      </c>
      <c r="M32" s="8">
        <f>P32/4</f>
        <v>11352</v>
      </c>
      <c r="N32" s="8">
        <f>P32/4</f>
        <v>11352</v>
      </c>
      <c r="O32" s="6">
        <f>P32/4</f>
        <v>11352</v>
      </c>
      <c r="P32" s="8">
        <v>45408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1277.9</v>
      </c>
      <c r="L33" s="6"/>
      <c r="M33" s="8">
        <f>P33/2</f>
        <v>638.95</v>
      </c>
      <c r="N33" s="6"/>
      <c r="O33" s="8">
        <f>P33/2</f>
        <v>638.95</v>
      </c>
      <c r="P33" s="8">
        <f>K33*J33</f>
        <v>1277.9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f>4555.4+184.9</f>
        <v>4740.299999999999</v>
      </c>
      <c r="L35" s="6">
        <f>P35/4</f>
        <v>6826.031999999999</v>
      </c>
      <c r="M35" s="8">
        <f>P35/4</f>
        <v>6826.031999999999</v>
      </c>
      <c r="N35" s="8">
        <f>P35/4</f>
        <v>6826.031999999999</v>
      </c>
      <c r="O35" s="8">
        <f>P35/4</f>
        <v>6826.031999999999</v>
      </c>
      <c r="P35" s="8">
        <f>K35*J35*12</f>
        <v>27304.127999999997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4555.4</v>
      </c>
      <c r="L37" s="6">
        <f>P37/4</f>
        <v>25965.779999999995</v>
      </c>
      <c r="M37" s="8">
        <f>P37/4</f>
        <v>25965.779999999995</v>
      </c>
      <c r="N37" s="8">
        <f>P37/4</f>
        <v>25965.779999999995</v>
      </c>
      <c r="O37" s="8">
        <f>P37/4</f>
        <v>25965.779999999995</v>
      </c>
      <c r="P37" s="8">
        <f>K37*J37*12</f>
        <v>103863.11999999998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6559.75</v>
      </c>
      <c r="M39" s="8">
        <f>P39/4</f>
        <v>6559.75</v>
      </c>
      <c r="N39" s="8">
        <f>P39/4</f>
        <v>6559.75</v>
      </c>
      <c r="O39" s="8">
        <f>P39/4</f>
        <v>6559.75</v>
      </c>
      <c r="P39" s="8">
        <v>26239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102</v>
      </c>
      <c r="L40" s="8">
        <f>J40*K40*3</f>
        <v>1205.6399999999999</v>
      </c>
      <c r="M40" s="8">
        <f>L40</f>
        <v>1205.6399999999999</v>
      </c>
      <c r="N40" s="8">
        <f>M40</f>
        <v>1205.6399999999999</v>
      </c>
      <c r="O40" s="8">
        <f>N40</f>
        <v>1205.6399999999999</v>
      </c>
      <c r="P40" s="8">
        <f>K40*J40*12</f>
        <v>4822.5599999999995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122027.58199999998</v>
      </c>
      <c r="M41" s="14">
        <f>SUM(M24:M40)</f>
        <v>122666.53199999996</v>
      </c>
      <c r="N41" s="14">
        <f>SUM(N24:N40)</f>
        <v>122027.58199999998</v>
      </c>
      <c r="O41" s="14">
        <f>SUM(O24:O40)</f>
        <v>122666.53199999996</v>
      </c>
      <c r="P41" s="14">
        <f>SUM(P24:P40)</f>
        <v>489388.22799999994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66734.68751999999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556122.9155199999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41:H41"/>
    <mergeCell ref="A42:H42"/>
    <mergeCell ref="A43:H43"/>
    <mergeCell ref="A44:H44"/>
    <mergeCell ref="A33:H33"/>
    <mergeCell ref="A38:H38"/>
    <mergeCell ref="A39:H39"/>
    <mergeCell ref="A40:H40"/>
    <mergeCell ref="A34:H34"/>
    <mergeCell ref="A35:H35"/>
    <mergeCell ref="A36:H36"/>
    <mergeCell ref="A37:H37"/>
    <mergeCell ref="A29:H29"/>
    <mergeCell ref="A30:H30"/>
    <mergeCell ref="A31:G31"/>
    <mergeCell ref="A32:H32"/>
    <mergeCell ref="A25:H25"/>
    <mergeCell ref="A26:H26"/>
    <mergeCell ref="A27:H27"/>
    <mergeCell ref="A28:H28"/>
    <mergeCell ref="L21:O21"/>
    <mergeCell ref="P21:P22"/>
    <mergeCell ref="A23:H23"/>
    <mergeCell ref="A24:H24"/>
    <mergeCell ref="A21:H22"/>
    <mergeCell ref="I21:I22"/>
    <mergeCell ref="J21:J22"/>
    <mergeCell ref="K21:K22"/>
    <mergeCell ref="A16:H16"/>
    <mergeCell ref="A17:H17"/>
    <mergeCell ref="A18:H18"/>
    <mergeCell ref="A20:I20"/>
    <mergeCell ref="A19:H19"/>
    <mergeCell ref="A11:H11"/>
    <mergeCell ref="A15:H15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1">
      <selection activeCell="P39" sqref="P39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345047.64</v>
      </c>
    </row>
    <row r="12" spans="1:9" ht="19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25051.404000000002</v>
      </c>
    </row>
    <row r="13" spans="1:9" ht="15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K30*I19*12</f>
        <v>103514.29200000002</v>
      </c>
    </row>
    <row r="14" spans="1:9" ht="12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56833.60032</v>
      </c>
    </row>
    <row r="15" spans="1:9" ht="12" customHeight="1">
      <c r="A15" s="137" t="s">
        <v>46</v>
      </c>
      <c r="B15" s="137"/>
      <c r="C15" s="137"/>
      <c r="D15" s="137"/>
      <c r="E15" s="137"/>
      <c r="F15" s="137"/>
      <c r="G15" s="137"/>
      <c r="H15" s="137"/>
      <c r="I15" s="8">
        <f>I14</f>
        <v>56833.60032</v>
      </c>
    </row>
    <row r="16" spans="1:9" ht="11.25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416779.73568000004</v>
      </c>
    </row>
    <row r="17" spans="1:9" ht="23.25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2.5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7.25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4000</v>
      </c>
      <c r="M24" s="6">
        <f aca="true" t="shared" si="1" ref="M24:M30">P24/4</f>
        <v>4000</v>
      </c>
      <c r="N24" s="6">
        <f aca="true" t="shared" si="2" ref="N24:N30">P24/4</f>
        <v>4000</v>
      </c>
      <c r="O24" s="6">
        <f aca="true" t="shared" si="3" ref="O24:O30">P24/4</f>
        <v>4000</v>
      </c>
      <c r="P24" s="8">
        <v>16000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3938.9</v>
      </c>
      <c r="L25" s="8">
        <f t="shared" si="0"/>
        <v>7090.02</v>
      </c>
      <c r="M25" s="8">
        <f t="shared" si="1"/>
        <v>7090.02</v>
      </c>
      <c r="N25" s="8">
        <f t="shared" si="2"/>
        <v>7090.02</v>
      </c>
      <c r="O25" s="8">
        <f t="shared" si="3"/>
        <v>7090.02</v>
      </c>
      <c r="P25" s="8">
        <f>J25*K25*12</f>
        <v>28360.08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3938.9</v>
      </c>
      <c r="L26" s="8">
        <f t="shared" si="0"/>
        <v>13352.871</v>
      </c>
      <c r="M26" s="8">
        <f t="shared" si="1"/>
        <v>13352.871</v>
      </c>
      <c r="N26" s="8">
        <f t="shared" si="2"/>
        <v>13352.871</v>
      </c>
      <c r="O26" s="8">
        <f t="shared" si="3"/>
        <v>13352.871</v>
      </c>
      <c r="P26" s="8">
        <f>K26*J26*12</f>
        <v>53411.484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3938.9</v>
      </c>
      <c r="L27" s="8">
        <f t="shared" si="0"/>
        <v>5553.849</v>
      </c>
      <c r="M27" s="8">
        <f t="shared" si="1"/>
        <v>5553.849</v>
      </c>
      <c r="N27" s="8">
        <f t="shared" si="2"/>
        <v>5553.849</v>
      </c>
      <c r="O27" s="8">
        <f t="shared" si="3"/>
        <v>5553.849</v>
      </c>
      <c r="P27" s="8">
        <f>K27*J27*12</f>
        <v>22215.396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5500</v>
      </c>
      <c r="M28" s="6">
        <f t="shared" si="1"/>
        <v>5500</v>
      </c>
      <c r="N28" s="6">
        <f t="shared" si="2"/>
        <v>5500</v>
      </c>
      <c r="O28" s="6">
        <f t="shared" si="3"/>
        <v>5500</v>
      </c>
      <c r="P28" s="6">
        <v>22000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3938.9</v>
      </c>
      <c r="L29" s="8">
        <f t="shared" si="0"/>
        <v>14180.04</v>
      </c>
      <c r="M29" s="8">
        <f t="shared" si="1"/>
        <v>14180.04</v>
      </c>
      <c r="N29" s="8">
        <f t="shared" si="2"/>
        <v>14180.04</v>
      </c>
      <c r="O29" s="8">
        <f t="shared" si="3"/>
        <v>14180.04</v>
      </c>
      <c r="P29" s="8">
        <f>J29*K29*12</f>
        <v>56720.16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3938.9</v>
      </c>
      <c r="L30" s="8">
        <f t="shared" si="0"/>
        <v>9453.36</v>
      </c>
      <c r="M30" s="8">
        <f t="shared" si="1"/>
        <v>9453.36</v>
      </c>
      <c r="N30" s="8">
        <f t="shared" si="2"/>
        <v>9453.36</v>
      </c>
      <c r="O30" s="8">
        <f t="shared" si="3"/>
        <v>9453.36</v>
      </c>
      <c r="P30" s="8">
        <f>K30*J30*12</f>
        <v>37813.44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10233.75</v>
      </c>
      <c r="M32" s="8">
        <f>P32/4</f>
        <v>10233.75</v>
      </c>
      <c r="N32" s="8">
        <f>P32/4</f>
        <v>10233.75</v>
      </c>
      <c r="O32" s="6">
        <f>P32/4</f>
        <v>10233.75</v>
      </c>
      <c r="P32" s="8">
        <v>40935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1020.7</v>
      </c>
      <c r="L33" s="6"/>
      <c r="M33" s="8">
        <f>P33/2</f>
        <v>510.35</v>
      </c>
      <c r="N33" s="6"/>
      <c r="O33" s="8">
        <f>P33/2</f>
        <v>510.35</v>
      </c>
      <c r="P33" s="8">
        <f>K33*J33</f>
        <v>1020.7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3938.9</v>
      </c>
      <c r="L35" s="6">
        <f>P35/4</f>
        <v>5672.016</v>
      </c>
      <c r="M35" s="8">
        <f>P35/4</f>
        <v>5672.016</v>
      </c>
      <c r="N35" s="8">
        <f>P35/4</f>
        <v>5672.016</v>
      </c>
      <c r="O35" s="8">
        <f>P35/4</f>
        <v>5672.016</v>
      </c>
      <c r="P35" s="8">
        <f>K35*J35*12</f>
        <v>22688.064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3938.9</v>
      </c>
      <c r="L37" s="6">
        <f>P37/4</f>
        <v>22451.73</v>
      </c>
      <c r="M37" s="8">
        <f>P37/4</f>
        <v>22451.73</v>
      </c>
      <c r="N37" s="8">
        <f>P37/4</f>
        <v>22451.73</v>
      </c>
      <c r="O37" s="8">
        <f>P37/4</f>
        <v>22451.73</v>
      </c>
      <c r="P37" s="8">
        <f>K37*J37*12</f>
        <v>89806.92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6">
        <f>P39/4</f>
        <v>5672</v>
      </c>
      <c r="M39" s="8">
        <f>P39/4</f>
        <v>5672</v>
      </c>
      <c r="N39" s="8">
        <f>P39/4</f>
        <v>5672</v>
      </c>
      <c r="O39" s="8">
        <f>P39/4</f>
        <v>5672</v>
      </c>
      <c r="P39" s="8">
        <v>22688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66</v>
      </c>
      <c r="L40" s="8">
        <f>J40*K40*3</f>
        <v>780.1200000000001</v>
      </c>
      <c r="M40" s="8">
        <f>L40</f>
        <v>780.1200000000001</v>
      </c>
      <c r="N40" s="8">
        <f>M40</f>
        <v>780.1200000000001</v>
      </c>
      <c r="O40" s="8">
        <f>N40</f>
        <v>780.1200000000001</v>
      </c>
      <c r="P40" s="8">
        <f>K40*J40*12</f>
        <v>3120.4800000000005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103939.756</v>
      </c>
      <c r="M41" s="14">
        <f>SUM(M24:M40)</f>
        <v>104450.106</v>
      </c>
      <c r="N41" s="14">
        <f>SUM(N24:N40)</f>
        <v>103939.756</v>
      </c>
      <c r="O41" s="14">
        <f>SUM(O24:O40)</f>
        <v>104450.106</v>
      </c>
      <c r="P41" s="14">
        <f>SUM(P24:P40)</f>
        <v>416779.724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56833.60032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473613.32432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41:H41"/>
    <mergeCell ref="A42:H42"/>
    <mergeCell ref="A43:H43"/>
    <mergeCell ref="A44:H44"/>
    <mergeCell ref="A33:H33"/>
    <mergeCell ref="A38:H38"/>
    <mergeCell ref="A39:H39"/>
    <mergeCell ref="A40:H40"/>
    <mergeCell ref="A34:H34"/>
    <mergeCell ref="A35:H35"/>
    <mergeCell ref="A36:H36"/>
    <mergeCell ref="A37:H37"/>
    <mergeCell ref="A29:H29"/>
    <mergeCell ref="A30:H30"/>
    <mergeCell ref="A31:G31"/>
    <mergeCell ref="A32:H32"/>
    <mergeCell ref="A25:H25"/>
    <mergeCell ref="A26:H26"/>
    <mergeCell ref="A27:H27"/>
    <mergeCell ref="A28:H28"/>
    <mergeCell ref="L21:O21"/>
    <mergeCell ref="P21:P22"/>
    <mergeCell ref="A23:H23"/>
    <mergeCell ref="A24:H24"/>
    <mergeCell ref="A21:H22"/>
    <mergeCell ref="I21:I22"/>
    <mergeCell ref="J21:J22"/>
    <mergeCell ref="K21:K22"/>
    <mergeCell ref="A20:I20"/>
    <mergeCell ref="A19:H19"/>
    <mergeCell ref="A15:H15"/>
    <mergeCell ref="A16:H16"/>
    <mergeCell ref="A17:H17"/>
    <mergeCell ref="A18:H18"/>
    <mergeCell ref="A11:H11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33">
      <selection activeCell="P45" sqref="P45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8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(K35*I23*12)+(288.8*3.76*12)</f>
        <v>97950.096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K31*I24*12</f>
        <v>8002.152</v>
      </c>
    </row>
    <row r="13" spans="1:9" ht="12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K43*I25*12</f>
        <v>25475.832</v>
      </c>
    </row>
    <row r="14" spans="1:9" ht="12" customHeight="1">
      <c r="A14" s="108" t="s">
        <v>38</v>
      </c>
      <c r="B14" s="108"/>
      <c r="C14" s="108"/>
      <c r="D14" s="108"/>
      <c r="E14" s="108"/>
      <c r="F14" s="108"/>
      <c r="G14" s="108"/>
      <c r="H14" s="108"/>
      <c r="I14" s="8"/>
    </row>
    <row r="15" spans="1:9" ht="10.5" customHeight="1">
      <c r="A15" s="109" t="s">
        <v>53</v>
      </c>
      <c r="B15" s="109"/>
      <c r="C15" s="109"/>
      <c r="D15" s="109"/>
      <c r="E15" s="109"/>
      <c r="F15" s="109"/>
      <c r="G15" s="109"/>
      <c r="H15" s="109"/>
      <c r="I15" s="6">
        <f>50*12</f>
        <v>600</v>
      </c>
    </row>
    <row r="16" spans="1:9" ht="12" customHeight="1">
      <c r="A16" s="109" t="s">
        <v>99</v>
      </c>
      <c r="B16" s="109"/>
      <c r="C16" s="109"/>
      <c r="D16" s="109"/>
      <c r="E16" s="109"/>
      <c r="F16" s="109"/>
      <c r="G16" s="109"/>
      <c r="H16" s="109"/>
      <c r="I16" s="6">
        <f>100*12</f>
        <v>1200</v>
      </c>
    </row>
    <row r="17" spans="1:9" ht="12" customHeight="1">
      <c r="A17" s="122" t="s">
        <v>42</v>
      </c>
      <c r="B17" s="122"/>
      <c r="C17" s="122"/>
      <c r="D17" s="122"/>
      <c r="E17" s="122"/>
      <c r="F17" s="122"/>
      <c r="G17" s="122"/>
      <c r="H17" s="122"/>
      <c r="I17" s="6">
        <f>SUM(I15:I16)</f>
        <v>1800</v>
      </c>
    </row>
    <row r="18" spans="1:9" ht="11.25" customHeight="1">
      <c r="A18" s="125" t="s">
        <v>43</v>
      </c>
      <c r="B18" s="126"/>
      <c r="C18" s="126"/>
      <c r="D18" s="126"/>
      <c r="E18" s="126"/>
      <c r="F18" s="126"/>
      <c r="G18" s="126"/>
      <c r="H18" s="127"/>
      <c r="I18" s="16"/>
    </row>
    <row r="19" spans="1:9" ht="12" customHeight="1">
      <c r="A19" s="119" t="s">
        <v>44</v>
      </c>
      <c r="B19" s="120"/>
      <c r="C19" s="120"/>
      <c r="D19" s="120"/>
      <c r="E19" s="120"/>
      <c r="F19" s="120"/>
      <c r="G19" s="120"/>
      <c r="H19" s="121"/>
      <c r="I19" s="19">
        <f>SUM(I11:I13)*12%</f>
        <v>15771.369600000002</v>
      </c>
    </row>
    <row r="20" spans="1:9" ht="12" customHeight="1">
      <c r="A20" s="119" t="s">
        <v>45</v>
      </c>
      <c r="B20" s="120"/>
      <c r="C20" s="120"/>
      <c r="D20" s="120"/>
      <c r="E20" s="120"/>
      <c r="F20" s="120"/>
      <c r="G20" s="120"/>
      <c r="H20" s="121"/>
      <c r="I20" s="8">
        <f>I17*27%</f>
        <v>486.00000000000006</v>
      </c>
    </row>
    <row r="21" spans="1:9" ht="12" customHeight="1">
      <c r="A21" s="91" t="s">
        <v>46</v>
      </c>
      <c r="B21" s="92"/>
      <c r="C21" s="92"/>
      <c r="D21" s="92"/>
      <c r="E21" s="92"/>
      <c r="F21" s="92"/>
      <c r="G21" s="92"/>
      <c r="H21" s="93"/>
      <c r="I21" s="8">
        <f>I19+I20</f>
        <v>16257.369600000002</v>
      </c>
    </row>
    <row r="22" spans="1:9" ht="13.5" customHeight="1">
      <c r="A22" s="124" t="s">
        <v>4</v>
      </c>
      <c r="B22" s="124"/>
      <c r="C22" s="124"/>
      <c r="D22" s="124"/>
      <c r="E22" s="124"/>
      <c r="F22" s="124"/>
      <c r="G22" s="124"/>
      <c r="H22" s="124"/>
      <c r="I22" s="14">
        <f>SUM(I11:I16)-I21</f>
        <v>116970.71040000001</v>
      </c>
    </row>
    <row r="23" spans="1:9" ht="21" customHeight="1">
      <c r="A23" s="62" t="s">
        <v>5</v>
      </c>
      <c r="B23" s="62"/>
      <c r="C23" s="62"/>
      <c r="D23" s="62"/>
      <c r="E23" s="62"/>
      <c r="F23" s="62"/>
      <c r="G23" s="62"/>
      <c r="H23" s="62"/>
      <c r="I23" s="6">
        <v>7.3</v>
      </c>
    </row>
    <row r="24" spans="1:9" ht="21" customHeight="1">
      <c r="A24" s="62" t="s">
        <v>101</v>
      </c>
      <c r="B24" s="62"/>
      <c r="C24" s="62"/>
      <c r="D24" s="62"/>
      <c r="E24" s="62"/>
      <c r="F24" s="62"/>
      <c r="G24" s="62"/>
      <c r="H24" s="62"/>
      <c r="I24" s="6">
        <v>0.53</v>
      </c>
    </row>
    <row r="25" spans="1:9" ht="16.5" customHeight="1">
      <c r="A25" s="62" t="s">
        <v>103</v>
      </c>
      <c r="B25" s="62"/>
      <c r="C25" s="62"/>
      <c r="D25" s="62"/>
      <c r="E25" s="62"/>
      <c r="F25" s="62"/>
      <c r="G25" s="62"/>
      <c r="H25" s="62"/>
      <c r="I25" s="6">
        <v>2.19</v>
      </c>
    </row>
    <row r="26" spans="1:9" ht="15">
      <c r="A26" s="123"/>
      <c r="B26" s="123"/>
      <c r="C26" s="123"/>
      <c r="D26" s="123"/>
      <c r="E26" s="123"/>
      <c r="F26" s="123"/>
      <c r="G26" s="123"/>
      <c r="H26" s="123"/>
      <c r="I26" s="123"/>
    </row>
    <row r="27" spans="1:16" ht="15" customHeight="1">
      <c r="A27" s="101" t="s">
        <v>7</v>
      </c>
      <c r="B27" s="101"/>
      <c r="C27" s="101"/>
      <c r="D27" s="101"/>
      <c r="E27" s="101"/>
      <c r="F27" s="101"/>
      <c r="G27" s="101"/>
      <c r="H27" s="101"/>
      <c r="I27" s="102" t="s">
        <v>8</v>
      </c>
      <c r="J27" s="102" t="s">
        <v>9</v>
      </c>
      <c r="K27" s="102" t="s">
        <v>10</v>
      </c>
      <c r="L27" s="99" t="s">
        <v>11</v>
      </c>
      <c r="M27" s="99"/>
      <c r="N27" s="99"/>
      <c r="O27" s="100"/>
      <c r="P27" s="101" t="s">
        <v>16</v>
      </c>
    </row>
    <row r="28" spans="1:16" ht="18.75" customHeight="1">
      <c r="A28" s="101"/>
      <c r="B28" s="101"/>
      <c r="C28" s="101"/>
      <c r="D28" s="101"/>
      <c r="E28" s="101"/>
      <c r="F28" s="101"/>
      <c r="G28" s="101"/>
      <c r="H28" s="101"/>
      <c r="I28" s="103"/>
      <c r="J28" s="103"/>
      <c r="K28" s="103"/>
      <c r="L28" s="6" t="s">
        <v>12</v>
      </c>
      <c r="M28" s="6" t="s">
        <v>13</v>
      </c>
      <c r="N28" s="6" t="s">
        <v>14</v>
      </c>
      <c r="O28" s="6" t="s">
        <v>15</v>
      </c>
      <c r="P28" s="101"/>
    </row>
    <row r="29" spans="1:16" ht="15">
      <c r="A29" s="45" t="s">
        <v>17</v>
      </c>
      <c r="B29" s="46"/>
      <c r="C29" s="46"/>
      <c r="D29" s="46"/>
      <c r="E29" s="46"/>
      <c r="F29" s="46"/>
      <c r="G29" s="46"/>
      <c r="H29" s="47"/>
      <c r="I29" s="5"/>
      <c r="J29" s="2"/>
      <c r="K29" s="2"/>
      <c r="L29" s="6"/>
      <c r="M29" s="6"/>
      <c r="N29" s="6"/>
      <c r="O29" s="6"/>
      <c r="P29" s="2"/>
    </row>
    <row r="30" spans="1:16" ht="15">
      <c r="A30" s="48" t="s">
        <v>18</v>
      </c>
      <c r="B30" s="49"/>
      <c r="C30" s="49"/>
      <c r="D30" s="49"/>
      <c r="E30" s="49"/>
      <c r="F30" s="49"/>
      <c r="G30" s="49"/>
      <c r="H30" s="84"/>
      <c r="I30" s="5"/>
      <c r="J30" s="2"/>
      <c r="K30" s="2"/>
      <c r="L30" s="6">
        <f aca="true" t="shared" si="0" ref="L30:L36">P30/4</f>
        <v>1500</v>
      </c>
      <c r="M30" s="6">
        <f aca="true" t="shared" si="1" ref="M30:M36">P30/4</f>
        <v>1500</v>
      </c>
      <c r="N30" s="6">
        <f aca="true" t="shared" si="2" ref="N30:N36">P30/4</f>
        <v>1500</v>
      </c>
      <c r="O30" s="6">
        <f aca="true" t="shared" si="3" ref="O30:O36">P30/4</f>
        <v>1500</v>
      </c>
      <c r="P30" s="8">
        <v>6000</v>
      </c>
    </row>
    <row r="31" spans="1:18" ht="22.5">
      <c r="A31" s="48" t="s">
        <v>19</v>
      </c>
      <c r="B31" s="49"/>
      <c r="C31" s="49"/>
      <c r="D31" s="49"/>
      <c r="E31" s="49"/>
      <c r="F31" s="49"/>
      <c r="G31" s="49"/>
      <c r="H31" s="84"/>
      <c r="I31" s="4" t="s">
        <v>23</v>
      </c>
      <c r="J31" s="6">
        <v>0.6</v>
      </c>
      <c r="K31" s="6">
        <f>969.4+288.8</f>
        <v>1258.2</v>
      </c>
      <c r="L31" s="8">
        <f t="shared" si="0"/>
        <v>2264.7599999999998</v>
      </c>
      <c r="M31" s="8">
        <f t="shared" si="1"/>
        <v>2264.7599999999998</v>
      </c>
      <c r="N31" s="8">
        <f t="shared" si="2"/>
        <v>2264.7599999999998</v>
      </c>
      <c r="O31" s="8">
        <f t="shared" si="3"/>
        <v>2264.7599999999998</v>
      </c>
      <c r="P31" s="8">
        <f>J31*K31*12</f>
        <v>9059.039999999999</v>
      </c>
      <c r="R31" s="12"/>
    </row>
    <row r="32" spans="1:16" ht="22.5">
      <c r="A32" s="48" t="s">
        <v>20</v>
      </c>
      <c r="B32" s="49"/>
      <c r="C32" s="49"/>
      <c r="D32" s="49"/>
      <c r="E32" s="49"/>
      <c r="F32" s="49"/>
      <c r="G32" s="49"/>
      <c r="H32" s="84"/>
      <c r="I32" s="4" t="s">
        <v>23</v>
      </c>
      <c r="J32" s="6">
        <v>1.13</v>
      </c>
      <c r="K32" s="6">
        <f>969.4+288.8</f>
        <v>1258.2</v>
      </c>
      <c r="L32" s="8">
        <f t="shared" si="0"/>
        <v>4265.298</v>
      </c>
      <c r="M32" s="8">
        <f t="shared" si="1"/>
        <v>4265.298</v>
      </c>
      <c r="N32" s="8">
        <f t="shared" si="2"/>
        <v>4265.298</v>
      </c>
      <c r="O32" s="8">
        <f t="shared" si="3"/>
        <v>4265.298</v>
      </c>
      <c r="P32" s="8">
        <f>K32*J32*12</f>
        <v>17061.192</v>
      </c>
    </row>
    <row r="33" spans="1:16" ht="22.5">
      <c r="A33" s="48" t="s">
        <v>21</v>
      </c>
      <c r="B33" s="49"/>
      <c r="C33" s="49"/>
      <c r="D33" s="49"/>
      <c r="E33" s="49"/>
      <c r="F33" s="49"/>
      <c r="G33" s="49"/>
      <c r="H33" s="84"/>
      <c r="I33" s="4" t="s">
        <v>23</v>
      </c>
      <c r="J33" s="6">
        <v>0.47</v>
      </c>
      <c r="K33" s="6">
        <f>969.4+288.8</f>
        <v>1258.2</v>
      </c>
      <c r="L33" s="8">
        <f t="shared" si="0"/>
        <v>1774.0620000000001</v>
      </c>
      <c r="M33" s="8">
        <f t="shared" si="1"/>
        <v>1774.0620000000001</v>
      </c>
      <c r="N33" s="8">
        <f t="shared" si="2"/>
        <v>1774.0620000000001</v>
      </c>
      <c r="O33" s="8">
        <f t="shared" si="3"/>
        <v>1774.0620000000001</v>
      </c>
      <c r="P33" s="8">
        <f>K33*J33*12</f>
        <v>7096.2480000000005</v>
      </c>
    </row>
    <row r="34" spans="1:16" ht="21.75" customHeight="1">
      <c r="A34" s="85" t="s">
        <v>39</v>
      </c>
      <c r="B34" s="86"/>
      <c r="C34" s="86"/>
      <c r="D34" s="86"/>
      <c r="E34" s="86"/>
      <c r="F34" s="86"/>
      <c r="G34" s="86"/>
      <c r="H34" s="87"/>
      <c r="I34" s="4" t="s">
        <v>23</v>
      </c>
      <c r="J34" s="6"/>
      <c r="K34" s="6"/>
      <c r="L34" s="6">
        <f t="shared" si="0"/>
        <v>2500</v>
      </c>
      <c r="M34" s="6">
        <f t="shared" si="1"/>
        <v>2500</v>
      </c>
      <c r="N34" s="6">
        <f t="shared" si="2"/>
        <v>2500</v>
      </c>
      <c r="O34" s="6">
        <f t="shared" si="3"/>
        <v>2500</v>
      </c>
      <c r="P34" s="6">
        <v>10000</v>
      </c>
    </row>
    <row r="35" spans="1:16" ht="22.5">
      <c r="A35" s="48" t="s">
        <v>40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1.2</v>
      </c>
      <c r="K35" s="6">
        <v>969.4</v>
      </c>
      <c r="L35" s="8">
        <f t="shared" si="0"/>
        <v>3489.84</v>
      </c>
      <c r="M35" s="8">
        <f t="shared" si="1"/>
        <v>3489.84</v>
      </c>
      <c r="N35" s="8">
        <f t="shared" si="2"/>
        <v>3489.84</v>
      </c>
      <c r="O35" s="8">
        <f t="shared" si="3"/>
        <v>3489.84</v>
      </c>
      <c r="P35" s="8">
        <f>J35*K35*12</f>
        <v>13959.36</v>
      </c>
    </row>
    <row r="36" spans="1:16" ht="22.5" customHeight="1">
      <c r="A36" s="48" t="s">
        <v>41</v>
      </c>
      <c r="B36" s="49"/>
      <c r="C36" s="49"/>
      <c r="D36" s="49"/>
      <c r="E36" s="49"/>
      <c r="F36" s="49"/>
      <c r="G36" s="49"/>
      <c r="H36" s="84"/>
      <c r="I36" s="4" t="s">
        <v>23</v>
      </c>
      <c r="J36" s="6">
        <v>0.8</v>
      </c>
      <c r="K36" s="6">
        <v>969.4</v>
      </c>
      <c r="L36" s="8">
        <f t="shared" si="0"/>
        <v>2326.56</v>
      </c>
      <c r="M36" s="8">
        <f t="shared" si="1"/>
        <v>2326.56</v>
      </c>
      <c r="N36" s="8">
        <f t="shared" si="2"/>
        <v>2326.56</v>
      </c>
      <c r="O36" s="8">
        <f t="shared" si="3"/>
        <v>2326.56</v>
      </c>
      <c r="P36" s="8">
        <f>K36*J36*12</f>
        <v>9306.24</v>
      </c>
    </row>
    <row r="37" spans="1:16" ht="15" customHeight="1">
      <c r="A37" s="48" t="s">
        <v>47</v>
      </c>
      <c r="B37" s="49"/>
      <c r="C37" s="49"/>
      <c r="D37" s="49"/>
      <c r="E37" s="49"/>
      <c r="F37" s="49"/>
      <c r="G37" s="49"/>
      <c r="H37" s="17"/>
      <c r="I37" s="4" t="s">
        <v>24</v>
      </c>
      <c r="J37" s="6"/>
      <c r="K37" s="6"/>
      <c r="L37" s="6"/>
      <c r="M37" s="6"/>
      <c r="N37" s="6"/>
      <c r="O37" s="6"/>
      <c r="P37" s="8"/>
    </row>
    <row r="38" spans="1:16" ht="24" customHeight="1">
      <c r="A38" s="85" t="s">
        <v>48</v>
      </c>
      <c r="B38" s="86"/>
      <c r="C38" s="86"/>
      <c r="D38" s="86"/>
      <c r="E38" s="86"/>
      <c r="F38" s="86"/>
      <c r="G38" s="86"/>
      <c r="H38" s="87"/>
      <c r="I38" s="5"/>
      <c r="J38" s="6"/>
      <c r="K38" s="2"/>
      <c r="L38" s="8">
        <f>P38/4</f>
        <v>1552.75</v>
      </c>
      <c r="M38" s="8">
        <f>P38/4</f>
        <v>1552.75</v>
      </c>
      <c r="N38" s="8">
        <f>P38/4</f>
        <v>1552.75</v>
      </c>
      <c r="O38" s="8">
        <f>P38/4</f>
        <v>1552.75</v>
      </c>
      <c r="P38" s="8">
        <v>6211</v>
      </c>
    </row>
    <row r="39" spans="1:18" ht="15">
      <c r="A39" s="48" t="s">
        <v>49</v>
      </c>
      <c r="B39" s="49"/>
      <c r="C39" s="49"/>
      <c r="D39" s="49"/>
      <c r="E39" s="49"/>
      <c r="F39" s="49"/>
      <c r="G39" s="49"/>
      <c r="H39" s="84"/>
      <c r="I39" s="6" t="s">
        <v>25</v>
      </c>
      <c r="J39" s="6">
        <v>1</v>
      </c>
      <c r="K39" s="6">
        <v>736</v>
      </c>
      <c r="L39" s="6"/>
      <c r="M39" s="8">
        <f>P39/2</f>
        <v>368</v>
      </c>
      <c r="N39" s="6"/>
      <c r="O39" s="8">
        <f>P39/2</f>
        <v>368</v>
      </c>
      <c r="P39" s="8">
        <f>K39*J39</f>
        <v>736</v>
      </c>
      <c r="R39" s="12"/>
    </row>
    <row r="40" spans="1:18" ht="15">
      <c r="A40" s="45" t="s">
        <v>107</v>
      </c>
      <c r="B40" s="46"/>
      <c r="C40" s="46"/>
      <c r="D40" s="46"/>
      <c r="E40" s="46"/>
      <c r="F40" s="46"/>
      <c r="G40" s="46"/>
      <c r="H40" s="47"/>
      <c r="I40" s="6"/>
      <c r="J40" s="6"/>
      <c r="K40" s="6"/>
      <c r="L40" s="6"/>
      <c r="M40" s="8"/>
      <c r="N40" s="6"/>
      <c r="O40" s="8"/>
      <c r="P40" s="8"/>
      <c r="R40" s="12"/>
    </row>
    <row r="41" spans="1:18" ht="22.5">
      <c r="A41" s="48" t="s">
        <v>108</v>
      </c>
      <c r="B41" s="49"/>
      <c r="C41" s="49"/>
      <c r="D41" s="49"/>
      <c r="E41" s="49"/>
      <c r="F41" s="49"/>
      <c r="G41" s="49"/>
      <c r="H41" s="84"/>
      <c r="I41" s="4" t="s">
        <v>23</v>
      </c>
      <c r="J41" s="6">
        <v>0.48</v>
      </c>
      <c r="K41" s="6">
        <f>969.4+288.8</f>
        <v>1258.2</v>
      </c>
      <c r="L41" s="8">
        <f>P41/4</f>
        <v>1811.808</v>
      </c>
      <c r="M41" s="8">
        <f>P41/4</f>
        <v>1811.808</v>
      </c>
      <c r="N41" s="8">
        <f>P41/4</f>
        <v>1811.808</v>
      </c>
      <c r="O41" s="8">
        <f>P41/4</f>
        <v>1811.808</v>
      </c>
      <c r="P41" s="8">
        <f>K41*J41*12</f>
        <v>7247.232</v>
      </c>
      <c r="R41" s="12"/>
    </row>
    <row r="42" spans="1:18" ht="15">
      <c r="A42" s="45" t="s">
        <v>117</v>
      </c>
      <c r="B42" s="46"/>
      <c r="C42" s="46"/>
      <c r="D42" s="46"/>
      <c r="E42" s="46"/>
      <c r="F42" s="46"/>
      <c r="G42" s="46"/>
      <c r="H42" s="47"/>
      <c r="I42" s="4"/>
      <c r="J42" s="6"/>
      <c r="K42" s="6"/>
      <c r="L42" s="6"/>
      <c r="M42" s="8"/>
      <c r="N42" s="6"/>
      <c r="O42" s="8"/>
      <c r="P42" s="8"/>
      <c r="R42" s="12"/>
    </row>
    <row r="43" spans="1:18" ht="22.5">
      <c r="A43" s="48" t="s">
        <v>118</v>
      </c>
      <c r="B43" s="49"/>
      <c r="C43" s="49"/>
      <c r="D43" s="49"/>
      <c r="E43" s="49"/>
      <c r="F43" s="49"/>
      <c r="G43" s="49"/>
      <c r="H43" s="84"/>
      <c r="I43" s="4" t="s">
        <v>23</v>
      </c>
      <c r="J43" s="6">
        <v>1.9</v>
      </c>
      <c r="K43" s="6">
        <v>969.4</v>
      </c>
      <c r="L43" s="8">
        <f>P43/4</f>
        <v>5525.58</v>
      </c>
      <c r="M43" s="8">
        <f>P43/4</f>
        <v>5525.58</v>
      </c>
      <c r="N43" s="8">
        <f>P43/4</f>
        <v>5525.58</v>
      </c>
      <c r="O43" s="8">
        <f>P43/4</f>
        <v>5525.58</v>
      </c>
      <c r="P43" s="8">
        <f>K43*J43*12</f>
        <v>22102.32</v>
      </c>
      <c r="R43" s="12"/>
    </row>
    <row r="44" spans="1:16" ht="15">
      <c r="A44" s="45" t="s">
        <v>119</v>
      </c>
      <c r="B44" s="46"/>
      <c r="C44" s="46"/>
      <c r="D44" s="46"/>
      <c r="E44" s="46"/>
      <c r="F44" s="46"/>
      <c r="G44" s="46"/>
      <c r="H44" s="47"/>
      <c r="I44" s="5"/>
      <c r="J44" s="6"/>
      <c r="K44" s="2"/>
      <c r="L44" s="2"/>
      <c r="M44" s="2"/>
      <c r="N44" s="2"/>
      <c r="O44" s="2"/>
      <c r="P44" s="6"/>
    </row>
    <row r="45" spans="1:16" ht="21" customHeight="1">
      <c r="A45" s="85" t="s">
        <v>120</v>
      </c>
      <c r="B45" s="86"/>
      <c r="C45" s="86"/>
      <c r="D45" s="86"/>
      <c r="E45" s="86"/>
      <c r="F45" s="86"/>
      <c r="G45" s="86"/>
      <c r="H45" s="87"/>
      <c r="I45" s="2"/>
      <c r="J45" s="6"/>
      <c r="K45" s="2"/>
      <c r="L45" s="8">
        <f>P45/4</f>
        <v>1811.75</v>
      </c>
      <c r="M45" s="8">
        <f>P45/4</f>
        <v>1811.75</v>
      </c>
      <c r="N45" s="8">
        <f>P45/4</f>
        <v>1811.75</v>
      </c>
      <c r="O45" s="8">
        <f>P45/4</f>
        <v>1811.75</v>
      </c>
      <c r="P45" s="8">
        <v>7247</v>
      </c>
    </row>
    <row r="46" spans="1:16" ht="15" customHeight="1">
      <c r="A46" s="85" t="s">
        <v>121</v>
      </c>
      <c r="B46" s="86"/>
      <c r="C46" s="86"/>
      <c r="D46" s="86"/>
      <c r="E46" s="86"/>
      <c r="F46" s="86"/>
      <c r="G46" s="86"/>
      <c r="H46" s="87"/>
      <c r="I46" s="6" t="s">
        <v>27</v>
      </c>
      <c r="J46" s="6">
        <v>3.94</v>
      </c>
      <c r="K46" s="6">
        <v>20</v>
      </c>
      <c r="L46" s="8">
        <f>J46*K46*3</f>
        <v>236.39999999999998</v>
      </c>
      <c r="M46" s="8">
        <f>L46</f>
        <v>236.39999999999998</v>
      </c>
      <c r="N46" s="8">
        <f>M46</f>
        <v>236.39999999999998</v>
      </c>
      <c r="O46" s="8">
        <f>N46</f>
        <v>236.39999999999998</v>
      </c>
      <c r="P46" s="8">
        <f>K46*J46*12</f>
        <v>945.5999999999999</v>
      </c>
    </row>
    <row r="47" spans="1:17" ht="15">
      <c r="A47" s="45" t="s">
        <v>28</v>
      </c>
      <c r="B47" s="46"/>
      <c r="C47" s="46"/>
      <c r="D47" s="46"/>
      <c r="E47" s="46"/>
      <c r="F47" s="46"/>
      <c r="G47" s="46"/>
      <c r="H47" s="47"/>
      <c r="I47" s="2"/>
      <c r="J47" s="6"/>
      <c r="K47" s="2"/>
      <c r="L47" s="14">
        <f>SUM(L30:L46)</f>
        <v>29058.808000000005</v>
      </c>
      <c r="M47" s="14">
        <f>SUM(M30:M46)</f>
        <v>29426.808000000005</v>
      </c>
      <c r="N47" s="14">
        <f>SUM(N30:N46)</f>
        <v>29058.808000000005</v>
      </c>
      <c r="O47" s="14">
        <f>SUM(O30:O46)</f>
        <v>29426.808000000005</v>
      </c>
      <c r="P47" s="14">
        <f>SUM(P30:P46)</f>
        <v>116971.23200000002</v>
      </c>
      <c r="Q47" s="15"/>
    </row>
    <row r="48" spans="1:16" ht="15" customHeight="1">
      <c r="A48" s="85" t="s">
        <v>122</v>
      </c>
      <c r="B48" s="86"/>
      <c r="C48" s="86"/>
      <c r="D48" s="86"/>
      <c r="E48" s="86"/>
      <c r="F48" s="86"/>
      <c r="G48" s="86"/>
      <c r="H48" s="87"/>
      <c r="I48" s="2"/>
      <c r="J48" s="6"/>
      <c r="K48" s="2"/>
      <c r="L48" s="13"/>
      <c r="M48" s="13"/>
      <c r="N48" s="13"/>
      <c r="O48" s="13"/>
      <c r="P48" s="8">
        <f>I21</f>
        <v>16257.369600000002</v>
      </c>
    </row>
    <row r="49" spans="1:16" ht="15" customHeight="1">
      <c r="A49" s="88" t="s">
        <v>29</v>
      </c>
      <c r="B49" s="89"/>
      <c r="C49" s="89"/>
      <c r="D49" s="89"/>
      <c r="E49" s="89"/>
      <c r="F49" s="89"/>
      <c r="G49" s="89"/>
      <c r="H49" s="90"/>
      <c r="I49" s="2"/>
      <c r="J49" s="6"/>
      <c r="K49" s="2"/>
      <c r="L49" s="13"/>
      <c r="M49" s="13"/>
      <c r="N49" s="13"/>
      <c r="O49" s="13"/>
      <c r="P49" s="14">
        <f>P47+P48</f>
        <v>133228.60160000002</v>
      </c>
    </row>
    <row r="50" spans="1:19" ht="15">
      <c r="A50" s="48" t="s">
        <v>30</v>
      </c>
      <c r="B50" s="49"/>
      <c r="C50" s="49"/>
      <c r="D50" s="49"/>
      <c r="E50" s="49"/>
      <c r="F50" s="49"/>
      <c r="G50" s="49"/>
      <c r="H50" s="84"/>
      <c r="I50" s="2"/>
      <c r="J50" s="6"/>
      <c r="K50" s="2"/>
      <c r="L50" s="2"/>
      <c r="M50" s="2"/>
      <c r="N50" s="2"/>
      <c r="O50" s="2"/>
      <c r="P50" s="6">
        <v>0</v>
      </c>
      <c r="Q50" s="15"/>
      <c r="S50" s="15"/>
    </row>
  </sheetData>
  <mergeCells count="52">
    <mergeCell ref="A47:H47"/>
    <mergeCell ref="A48:H48"/>
    <mergeCell ref="A49:H49"/>
    <mergeCell ref="A50:H50"/>
    <mergeCell ref="A39:H39"/>
    <mergeCell ref="A44:H44"/>
    <mergeCell ref="A45:H45"/>
    <mergeCell ref="A46:H46"/>
    <mergeCell ref="A40:H40"/>
    <mergeCell ref="A41:H41"/>
    <mergeCell ref="A42:H42"/>
    <mergeCell ref="A43:H43"/>
    <mergeCell ref="A35:H35"/>
    <mergeCell ref="A36:H36"/>
    <mergeCell ref="A37:G37"/>
    <mergeCell ref="A38:H38"/>
    <mergeCell ref="A31:H31"/>
    <mergeCell ref="A32:H32"/>
    <mergeCell ref="A33:H33"/>
    <mergeCell ref="A34:H34"/>
    <mergeCell ref="A30:H30"/>
    <mergeCell ref="A27:H28"/>
    <mergeCell ref="I27:I28"/>
    <mergeCell ref="J27:J28"/>
    <mergeCell ref="A21:H21"/>
    <mergeCell ref="L27:O27"/>
    <mergeCell ref="P27:P28"/>
    <mergeCell ref="A29:H29"/>
    <mergeCell ref="K27:K28"/>
    <mergeCell ref="A22:H22"/>
    <mergeCell ref="A23:H23"/>
    <mergeCell ref="A26:I26"/>
    <mergeCell ref="A24:H24"/>
    <mergeCell ref="A25:H25"/>
    <mergeCell ref="A17:H17"/>
    <mergeCell ref="A18:H18"/>
    <mergeCell ref="A19:H19"/>
    <mergeCell ref="A20:H20"/>
    <mergeCell ref="A11:H11"/>
    <mergeCell ref="A14:H14"/>
    <mergeCell ref="A15:H15"/>
    <mergeCell ref="A16:H16"/>
    <mergeCell ref="A12:H12"/>
    <mergeCell ref="A13:H13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R38" sqref="R38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7" width="0.8984375" style="0" customWidth="1"/>
    <col min="8" max="8" width="4.699218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7.84*K23*12</f>
        <v>248305.344</v>
      </c>
    </row>
    <row r="12" spans="1:9" ht="15" customHeight="1">
      <c r="A12" s="62" t="s">
        <v>106</v>
      </c>
      <c r="B12" s="62"/>
      <c r="C12" s="62"/>
      <c r="D12" s="62"/>
      <c r="E12" s="62"/>
      <c r="F12" s="62"/>
      <c r="G12" s="62"/>
      <c r="H12" s="62"/>
      <c r="I12" s="8">
        <f>K23*I17*12</f>
        <v>69360.804</v>
      </c>
    </row>
    <row r="13" spans="1:9" ht="12" customHeight="1">
      <c r="A13" s="137" t="s">
        <v>44</v>
      </c>
      <c r="B13" s="137"/>
      <c r="C13" s="137"/>
      <c r="D13" s="137"/>
      <c r="E13" s="137"/>
      <c r="F13" s="137"/>
      <c r="G13" s="137"/>
      <c r="H13" s="137"/>
      <c r="I13" s="19">
        <f>(I11+I12)*12%</f>
        <v>38119.93776</v>
      </c>
    </row>
    <row r="14" spans="1:9" ht="11.25" customHeight="1">
      <c r="A14" s="137" t="s">
        <v>46</v>
      </c>
      <c r="B14" s="137"/>
      <c r="C14" s="137"/>
      <c r="D14" s="137"/>
      <c r="E14" s="137"/>
      <c r="F14" s="137"/>
      <c r="G14" s="137"/>
      <c r="H14" s="137"/>
      <c r="I14" s="8">
        <f>I13</f>
        <v>38119.93776</v>
      </c>
    </row>
    <row r="15" spans="1:9" ht="12" customHeight="1">
      <c r="A15" s="124" t="s">
        <v>4</v>
      </c>
      <c r="B15" s="124"/>
      <c r="C15" s="124"/>
      <c r="D15" s="124"/>
      <c r="E15" s="124"/>
      <c r="F15" s="124"/>
      <c r="G15" s="124"/>
      <c r="H15" s="124"/>
      <c r="I15" s="14">
        <f>(I11+I12)-I14</f>
        <v>279546.21024000004</v>
      </c>
    </row>
    <row r="16" spans="1:9" ht="23.25" customHeight="1">
      <c r="A16" s="62" t="s">
        <v>5</v>
      </c>
      <c r="B16" s="62"/>
      <c r="C16" s="62"/>
      <c r="D16" s="62"/>
      <c r="E16" s="62"/>
      <c r="F16" s="62"/>
      <c r="G16" s="62"/>
      <c r="H16" s="62"/>
      <c r="I16" s="6">
        <v>7.84</v>
      </c>
    </row>
    <row r="17" spans="1:9" ht="15.75" customHeight="1">
      <c r="A17" s="62" t="s">
        <v>103</v>
      </c>
      <c r="B17" s="62"/>
      <c r="C17" s="62"/>
      <c r="D17" s="62"/>
      <c r="E17" s="62"/>
      <c r="F17" s="62"/>
      <c r="G17" s="62"/>
      <c r="H17" s="62"/>
      <c r="I17" s="6">
        <v>2.19</v>
      </c>
    </row>
    <row r="18" spans="1:9" ht="15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16" ht="15" customHeight="1">
      <c r="A19" s="101" t="s">
        <v>7</v>
      </c>
      <c r="B19" s="101"/>
      <c r="C19" s="101"/>
      <c r="D19" s="101"/>
      <c r="E19" s="101"/>
      <c r="F19" s="101"/>
      <c r="G19" s="101"/>
      <c r="H19" s="101"/>
      <c r="I19" s="102" t="s">
        <v>8</v>
      </c>
      <c r="J19" s="102" t="s">
        <v>9</v>
      </c>
      <c r="K19" s="102" t="s">
        <v>10</v>
      </c>
      <c r="L19" s="99" t="s">
        <v>11</v>
      </c>
      <c r="M19" s="99"/>
      <c r="N19" s="99"/>
      <c r="O19" s="100"/>
      <c r="P19" s="101" t="s">
        <v>16</v>
      </c>
    </row>
    <row r="20" spans="1:16" ht="18.75" customHeight="1">
      <c r="A20" s="101"/>
      <c r="B20" s="101"/>
      <c r="C20" s="101"/>
      <c r="D20" s="101"/>
      <c r="E20" s="101"/>
      <c r="F20" s="101"/>
      <c r="G20" s="101"/>
      <c r="H20" s="101"/>
      <c r="I20" s="103"/>
      <c r="J20" s="103"/>
      <c r="K20" s="103"/>
      <c r="L20" s="6" t="s">
        <v>12</v>
      </c>
      <c r="M20" s="6" t="s">
        <v>13</v>
      </c>
      <c r="N20" s="6" t="s">
        <v>14</v>
      </c>
      <c r="O20" s="6" t="s">
        <v>15</v>
      </c>
      <c r="P20" s="101"/>
    </row>
    <row r="21" spans="1:16" ht="15">
      <c r="A21" s="45" t="s">
        <v>17</v>
      </c>
      <c r="B21" s="46"/>
      <c r="C21" s="46"/>
      <c r="D21" s="46"/>
      <c r="E21" s="46"/>
      <c r="F21" s="46"/>
      <c r="G21" s="46"/>
      <c r="H21" s="47"/>
      <c r="I21" s="5"/>
      <c r="J21" s="2"/>
      <c r="K21" s="2"/>
      <c r="L21" s="6"/>
      <c r="M21" s="6"/>
      <c r="N21" s="6"/>
      <c r="O21" s="6"/>
      <c r="P21" s="2"/>
    </row>
    <row r="22" spans="1:16" ht="15">
      <c r="A22" s="48" t="s">
        <v>18</v>
      </c>
      <c r="B22" s="49"/>
      <c r="C22" s="49"/>
      <c r="D22" s="49"/>
      <c r="E22" s="49"/>
      <c r="F22" s="49"/>
      <c r="G22" s="49"/>
      <c r="H22" s="84"/>
      <c r="I22" s="5"/>
      <c r="J22" s="2"/>
      <c r="K22" s="2"/>
      <c r="L22" s="6">
        <f aca="true" t="shared" si="0" ref="L22:L28">P22/4</f>
        <v>2500</v>
      </c>
      <c r="M22" s="6">
        <f aca="true" t="shared" si="1" ref="M22:M28">P22/4</f>
        <v>2500</v>
      </c>
      <c r="N22" s="6">
        <f aca="true" t="shared" si="2" ref="N22:N28">P22/4</f>
        <v>2500</v>
      </c>
      <c r="O22" s="6">
        <f aca="true" t="shared" si="3" ref="O22:O28">P22/4</f>
        <v>2500</v>
      </c>
      <c r="P22" s="8">
        <v>10000</v>
      </c>
    </row>
    <row r="23" spans="1:18" ht="22.5">
      <c r="A23" s="48" t="s">
        <v>19</v>
      </c>
      <c r="B23" s="49"/>
      <c r="C23" s="49"/>
      <c r="D23" s="49"/>
      <c r="E23" s="49"/>
      <c r="F23" s="49"/>
      <c r="G23" s="49"/>
      <c r="H23" s="84"/>
      <c r="I23" s="4" t="s">
        <v>23</v>
      </c>
      <c r="J23" s="6">
        <v>0.6</v>
      </c>
      <c r="K23" s="6">
        <v>2639.3</v>
      </c>
      <c r="L23" s="8">
        <f t="shared" si="0"/>
        <v>4750.740000000001</v>
      </c>
      <c r="M23" s="8">
        <f t="shared" si="1"/>
        <v>4750.740000000001</v>
      </c>
      <c r="N23" s="8">
        <f t="shared" si="2"/>
        <v>4750.740000000001</v>
      </c>
      <c r="O23" s="8">
        <f t="shared" si="3"/>
        <v>4750.740000000001</v>
      </c>
      <c r="P23" s="8">
        <f>J23*K23*12</f>
        <v>19002.960000000003</v>
      </c>
      <c r="R23" s="12"/>
    </row>
    <row r="24" spans="1:16" ht="22.5">
      <c r="A24" s="48" t="s">
        <v>20</v>
      </c>
      <c r="B24" s="49"/>
      <c r="C24" s="49"/>
      <c r="D24" s="49"/>
      <c r="E24" s="49"/>
      <c r="F24" s="49"/>
      <c r="G24" s="49"/>
      <c r="H24" s="84"/>
      <c r="I24" s="4" t="s">
        <v>23</v>
      </c>
      <c r="J24" s="6">
        <v>1.13</v>
      </c>
      <c r="K24" s="6">
        <v>2639.3</v>
      </c>
      <c r="L24" s="8">
        <f t="shared" si="0"/>
        <v>8947.227</v>
      </c>
      <c r="M24" s="8">
        <f t="shared" si="1"/>
        <v>8947.227</v>
      </c>
      <c r="N24" s="8">
        <f t="shared" si="2"/>
        <v>8947.227</v>
      </c>
      <c r="O24" s="8">
        <f t="shared" si="3"/>
        <v>8947.227</v>
      </c>
      <c r="P24" s="8">
        <f>K24*J24*12</f>
        <v>35788.908</v>
      </c>
    </row>
    <row r="25" spans="1:16" ht="22.5">
      <c r="A25" s="48" t="s">
        <v>21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0.47</v>
      </c>
      <c r="K25" s="6">
        <v>2639.3</v>
      </c>
      <c r="L25" s="8">
        <f t="shared" si="0"/>
        <v>3721.413</v>
      </c>
      <c r="M25" s="8">
        <f t="shared" si="1"/>
        <v>3721.413</v>
      </c>
      <c r="N25" s="8">
        <f t="shared" si="2"/>
        <v>3721.413</v>
      </c>
      <c r="O25" s="8">
        <f t="shared" si="3"/>
        <v>3721.413</v>
      </c>
      <c r="P25" s="8">
        <f>K25*J25*12</f>
        <v>14885.652</v>
      </c>
    </row>
    <row r="26" spans="1:16" ht="21.75" customHeight="1">
      <c r="A26" s="85" t="s">
        <v>39</v>
      </c>
      <c r="B26" s="86"/>
      <c r="C26" s="86"/>
      <c r="D26" s="86"/>
      <c r="E26" s="86"/>
      <c r="F26" s="86"/>
      <c r="G26" s="86"/>
      <c r="H26" s="87"/>
      <c r="I26" s="4" t="s">
        <v>23</v>
      </c>
      <c r="J26" s="6"/>
      <c r="K26" s="6"/>
      <c r="L26" s="6">
        <f t="shared" si="0"/>
        <v>5500</v>
      </c>
      <c r="M26" s="6">
        <f t="shared" si="1"/>
        <v>5500</v>
      </c>
      <c r="N26" s="6">
        <f t="shared" si="2"/>
        <v>5500</v>
      </c>
      <c r="O26" s="6">
        <f t="shared" si="3"/>
        <v>5500</v>
      </c>
      <c r="P26" s="6">
        <v>22000</v>
      </c>
    </row>
    <row r="27" spans="1:16" ht="22.5">
      <c r="A27" s="48" t="s">
        <v>40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1.2</v>
      </c>
      <c r="K27" s="6">
        <v>2639.3</v>
      </c>
      <c r="L27" s="8">
        <f t="shared" si="0"/>
        <v>9501.480000000001</v>
      </c>
      <c r="M27" s="8">
        <f t="shared" si="1"/>
        <v>9501.480000000001</v>
      </c>
      <c r="N27" s="8">
        <f t="shared" si="2"/>
        <v>9501.480000000001</v>
      </c>
      <c r="O27" s="8">
        <f t="shared" si="3"/>
        <v>9501.480000000001</v>
      </c>
      <c r="P27" s="8">
        <f>J27*K27*12</f>
        <v>38005.920000000006</v>
      </c>
    </row>
    <row r="28" spans="1:16" ht="22.5" customHeight="1">
      <c r="A28" s="48" t="s">
        <v>41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0.8</v>
      </c>
      <c r="K28" s="6">
        <v>2639.3</v>
      </c>
      <c r="L28" s="8">
        <f t="shared" si="0"/>
        <v>6334.32</v>
      </c>
      <c r="M28" s="8">
        <f t="shared" si="1"/>
        <v>6334.32</v>
      </c>
      <c r="N28" s="8">
        <f t="shared" si="2"/>
        <v>6334.32</v>
      </c>
      <c r="O28" s="8">
        <f t="shared" si="3"/>
        <v>6334.32</v>
      </c>
      <c r="P28" s="8">
        <f>K28*J28*12</f>
        <v>25337.28</v>
      </c>
    </row>
    <row r="29" spans="1:16" ht="22.5" customHeight="1">
      <c r="A29" s="48" t="s">
        <v>47</v>
      </c>
      <c r="B29" s="49"/>
      <c r="C29" s="49"/>
      <c r="D29" s="49"/>
      <c r="E29" s="49"/>
      <c r="F29" s="49"/>
      <c r="G29" s="49"/>
      <c r="H29" s="17"/>
      <c r="I29" s="4" t="s">
        <v>24</v>
      </c>
      <c r="J29" s="6"/>
      <c r="K29" s="6"/>
      <c r="L29" s="6"/>
      <c r="M29" s="6"/>
      <c r="N29" s="6"/>
      <c r="O29" s="6"/>
      <c r="P29" s="8"/>
    </row>
    <row r="30" spans="1:16" ht="24" customHeight="1">
      <c r="A30" s="85" t="s">
        <v>48</v>
      </c>
      <c r="B30" s="86"/>
      <c r="C30" s="86"/>
      <c r="D30" s="86"/>
      <c r="E30" s="86"/>
      <c r="F30" s="86"/>
      <c r="G30" s="86"/>
      <c r="H30" s="87"/>
      <c r="I30" s="5"/>
      <c r="J30" s="6"/>
      <c r="K30" s="2"/>
      <c r="L30" s="8">
        <f>P30/4</f>
        <v>5808</v>
      </c>
      <c r="M30" s="8">
        <f>P30/4</f>
        <v>5808</v>
      </c>
      <c r="N30" s="8">
        <f>P30/4</f>
        <v>5808</v>
      </c>
      <c r="O30" s="8">
        <f>P30/4</f>
        <v>5808</v>
      </c>
      <c r="P30" s="8">
        <v>23232</v>
      </c>
    </row>
    <row r="31" spans="1:18" ht="15">
      <c r="A31" s="48" t="s">
        <v>49</v>
      </c>
      <c r="B31" s="49"/>
      <c r="C31" s="49"/>
      <c r="D31" s="49"/>
      <c r="E31" s="49"/>
      <c r="F31" s="49"/>
      <c r="G31" s="49"/>
      <c r="H31" s="84"/>
      <c r="I31" s="6" t="s">
        <v>25</v>
      </c>
      <c r="J31" s="6">
        <v>1</v>
      </c>
      <c r="K31" s="6">
        <v>679.4</v>
      </c>
      <c r="L31" s="6"/>
      <c r="M31" s="8">
        <f>P31/2</f>
        <v>339.7</v>
      </c>
      <c r="N31" s="6"/>
      <c r="O31" s="8">
        <f>P31/2</f>
        <v>339.7</v>
      </c>
      <c r="P31" s="8">
        <f>K31*J31</f>
        <v>679.4</v>
      </c>
      <c r="R31" s="12"/>
    </row>
    <row r="32" spans="1:18" ht="22.5">
      <c r="A32" s="96" t="s">
        <v>100</v>
      </c>
      <c r="B32" s="97"/>
      <c r="C32" s="97"/>
      <c r="D32" s="97"/>
      <c r="E32" s="97"/>
      <c r="F32" s="97"/>
      <c r="G32" s="97"/>
      <c r="H32" s="98"/>
      <c r="I32" s="4" t="s">
        <v>23</v>
      </c>
      <c r="J32" s="6">
        <v>0.39</v>
      </c>
      <c r="K32" s="6">
        <v>2639.3</v>
      </c>
      <c r="L32" s="6">
        <f>P32/4</f>
        <v>3087.9809999999998</v>
      </c>
      <c r="M32" s="8">
        <f>P32/4</f>
        <v>3087.9809999999998</v>
      </c>
      <c r="N32" s="8">
        <f>P32/4</f>
        <v>3087.9809999999998</v>
      </c>
      <c r="O32" s="8">
        <f>P32/4</f>
        <v>3087.9809999999998</v>
      </c>
      <c r="P32" s="8">
        <f>K32*J32*12</f>
        <v>12351.923999999999</v>
      </c>
      <c r="R32" s="12"/>
    </row>
    <row r="33" spans="1:18" ht="15">
      <c r="A33" s="45" t="s">
        <v>126</v>
      </c>
      <c r="B33" s="46"/>
      <c r="C33" s="46"/>
      <c r="D33" s="46"/>
      <c r="E33" s="46"/>
      <c r="F33" s="46"/>
      <c r="G33" s="46"/>
      <c r="H33" s="47"/>
      <c r="I33" s="4"/>
      <c r="J33" s="6"/>
      <c r="K33" s="6"/>
      <c r="L33" s="6"/>
      <c r="M33" s="8"/>
      <c r="N33" s="8"/>
      <c r="O33" s="8"/>
      <c r="P33" s="8"/>
      <c r="R33" s="12"/>
    </row>
    <row r="34" spans="1:18" ht="22.5">
      <c r="A34" s="48" t="s">
        <v>127</v>
      </c>
      <c r="B34" s="49"/>
      <c r="C34" s="49"/>
      <c r="D34" s="49"/>
      <c r="E34" s="49"/>
      <c r="F34" s="49"/>
      <c r="G34" s="49"/>
      <c r="H34" s="84"/>
      <c r="I34" s="4" t="s">
        <v>23</v>
      </c>
      <c r="J34" s="6">
        <v>1.9</v>
      </c>
      <c r="K34" s="6">
        <v>2639.3</v>
      </c>
      <c r="L34" s="6">
        <f>P34/4</f>
        <v>15044.01</v>
      </c>
      <c r="M34" s="8">
        <f>P34/4</f>
        <v>15044.01</v>
      </c>
      <c r="N34" s="8">
        <f>P34/4</f>
        <v>15044.01</v>
      </c>
      <c r="O34" s="8">
        <f>P34/4</f>
        <v>15044.01</v>
      </c>
      <c r="P34" s="8">
        <f>K34*J34*12</f>
        <v>60176.04</v>
      </c>
      <c r="R34" s="12"/>
    </row>
    <row r="35" spans="1:16" ht="15">
      <c r="A35" s="45" t="s">
        <v>128</v>
      </c>
      <c r="B35" s="46"/>
      <c r="C35" s="46"/>
      <c r="D35" s="46"/>
      <c r="E35" s="46"/>
      <c r="F35" s="46"/>
      <c r="G35" s="46"/>
      <c r="H35" s="47"/>
      <c r="I35" s="5"/>
      <c r="J35" s="6"/>
      <c r="K35" s="2"/>
      <c r="L35" s="2"/>
      <c r="M35" s="2"/>
      <c r="N35" s="2"/>
      <c r="O35" s="2"/>
      <c r="P35" s="6"/>
    </row>
    <row r="36" spans="1:16" ht="21" customHeight="1">
      <c r="A36" s="85" t="s">
        <v>129</v>
      </c>
      <c r="B36" s="86"/>
      <c r="C36" s="86"/>
      <c r="D36" s="86"/>
      <c r="E36" s="86"/>
      <c r="F36" s="86"/>
      <c r="G36" s="86"/>
      <c r="H36" s="87"/>
      <c r="I36" s="2"/>
      <c r="J36" s="6"/>
      <c r="K36" s="2"/>
      <c r="L36" s="8">
        <f>P36/4</f>
        <v>3800.5</v>
      </c>
      <c r="M36" s="8">
        <f>P36/4</f>
        <v>3800.5</v>
      </c>
      <c r="N36" s="8">
        <f>P36/4</f>
        <v>3800.5</v>
      </c>
      <c r="O36" s="8">
        <f>P36/4</f>
        <v>3800.5</v>
      </c>
      <c r="P36" s="6">
        <v>15202</v>
      </c>
    </row>
    <row r="37" spans="1:16" ht="15" customHeight="1">
      <c r="A37" s="85" t="s">
        <v>130</v>
      </c>
      <c r="B37" s="86"/>
      <c r="C37" s="86"/>
      <c r="D37" s="86"/>
      <c r="E37" s="86"/>
      <c r="F37" s="86"/>
      <c r="G37" s="86"/>
      <c r="H37" s="87"/>
      <c r="I37" s="6" t="s">
        <v>27</v>
      </c>
      <c r="J37" s="6">
        <v>3.94</v>
      </c>
      <c r="K37" s="6">
        <v>61</v>
      </c>
      <c r="L37" s="8">
        <f>J37*K37*3</f>
        <v>721.02</v>
      </c>
      <c r="M37" s="8">
        <f>L37</f>
        <v>721.02</v>
      </c>
      <c r="N37" s="8">
        <f>M37</f>
        <v>721.02</v>
      </c>
      <c r="O37" s="8">
        <f>N37</f>
        <v>721.02</v>
      </c>
      <c r="P37" s="8">
        <f>K37*J37*12</f>
        <v>2884.08</v>
      </c>
    </row>
    <row r="38" spans="1:17" ht="15">
      <c r="A38" s="45" t="s">
        <v>28</v>
      </c>
      <c r="B38" s="46"/>
      <c r="C38" s="46"/>
      <c r="D38" s="46"/>
      <c r="E38" s="46"/>
      <c r="F38" s="46"/>
      <c r="G38" s="46"/>
      <c r="H38" s="47"/>
      <c r="I38" s="2"/>
      <c r="J38" s="6"/>
      <c r="K38" s="2"/>
      <c r="L38" s="14">
        <f>SUM(L22:L37)</f>
        <v>69716.691</v>
      </c>
      <c r="M38" s="14">
        <f>SUM(M22:M37)</f>
        <v>70056.391</v>
      </c>
      <c r="N38" s="14">
        <f>SUM(N22:N37)</f>
        <v>69716.691</v>
      </c>
      <c r="O38" s="14">
        <f>SUM(O22:O37)</f>
        <v>70056.391</v>
      </c>
      <c r="P38" s="14">
        <f>SUM(P22:P37)</f>
        <v>279546.16400000005</v>
      </c>
      <c r="Q38" s="15"/>
    </row>
    <row r="39" spans="1:16" ht="15" customHeight="1">
      <c r="A39" s="85" t="s">
        <v>122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13"/>
      <c r="M39" s="13"/>
      <c r="N39" s="13"/>
      <c r="O39" s="13"/>
      <c r="P39" s="8">
        <f>I14</f>
        <v>38119.93776</v>
      </c>
    </row>
    <row r="40" spans="1:16" ht="15" customHeight="1">
      <c r="A40" s="88" t="s">
        <v>29</v>
      </c>
      <c r="B40" s="89"/>
      <c r="C40" s="89"/>
      <c r="D40" s="89"/>
      <c r="E40" s="89"/>
      <c r="F40" s="89"/>
      <c r="G40" s="89"/>
      <c r="H40" s="90"/>
      <c r="I40" s="2"/>
      <c r="J40" s="6"/>
      <c r="K40" s="2"/>
      <c r="L40" s="13"/>
      <c r="M40" s="13"/>
      <c r="N40" s="13"/>
      <c r="O40" s="13"/>
      <c r="P40" s="14">
        <f>P38+P39</f>
        <v>317666.10176000005</v>
      </c>
    </row>
    <row r="41" spans="1:19" ht="15">
      <c r="A41" s="48" t="s">
        <v>30</v>
      </c>
      <c r="B41" s="49"/>
      <c r="C41" s="49"/>
      <c r="D41" s="49"/>
      <c r="E41" s="49"/>
      <c r="F41" s="49"/>
      <c r="G41" s="49"/>
      <c r="H41" s="84"/>
      <c r="I41" s="2"/>
      <c r="J41" s="6"/>
      <c r="K41" s="2"/>
      <c r="L41" s="2"/>
      <c r="M41" s="2"/>
      <c r="N41" s="2"/>
      <c r="O41" s="2"/>
      <c r="P41" s="6">
        <v>0</v>
      </c>
      <c r="Q41" s="15"/>
      <c r="S41" s="15"/>
    </row>
  </sheetData>
  <mergeCells count="43">
    <mergeCell ref="A1:B1"/>
    <mergeCell ref="A3:B3"/>
    <mergeCell ref="L3:P3"/>
    <mergeCell ref="L4:P4"/>
    <mergeCell ref="A6:P6"/>
    <mergeCell ref="A7:P7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I18"/>
    <mergeCell ref="L19:O19"/>
    <mergeCell ref="P19:P20"/>
    <mergeCell ref="J19:J20"/>
    <mergeCell ref="K19:K20"/>
    <mergeCell ref="A21:H21"/>
    <mergeCell ref="A22:H22"/>
    <mergeCell ref="A19:H20"/>
    <mergeCell ref="I19:I20"/>
    <mergeCell ref="A23:H23"/>
    <mergeCell ref="A24:H24"/>
    <mergeCell ref="A25:H25"/>
    <mergeCell ref="A26:H26"/>
    <mergeCell ref="A27:H27"/>
    <mergeCell ref="A28:H28"/>
    <mergeCell ref="A29:G29"/>
    <mergeCell ref="A30:H30"/>
    <mergeCell ref="A31:H31"/>
    <mergeCell ref="A35:H35"/>
    <mergeCell ref="A36:H36"/>
    <mergeCell ref="A37:H37"/>
    <mergeCell ref="A32:H32"/>
    <mergeCell ref="A33:H33"/>
    <mergeCell ref="A34:H34"/>
    <mergeCell ref="A38:H38"/>
    <mergeCell ref="A39:H39"/>
    <mergeCell ref="A40:H40"/>
    <mergeCell ref="A41:H41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8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293784.12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21329.532</v>
      </c>
    </row>
    <row r="13" spans="1:9" ht="18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K26*I19*12</f>
        <v>88135.23599999999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48389.866559999995</v>
      </c>
    </row>
    <row r="15" spans="1:9" ht="12" customHeight="1">
      <c r="A15" s="137" t="s">
        <v>46</v>
      </c>
      <c r="B15" s="137"/>
      <c r="C15" s="137"/>
      <c r="D15" s="137"/>
      <c r="E15" s="137"/>
      <c r="F15" s="137"/>
      <c r="G15" s="137"/>
      <c r="H15" s="137"/>
      <c r="I15" s="8">
        <f>I14</f>
        <v>48389.866559999995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354859.02144</v>
      </c>
    </row>
    <row r="17" spans="1:9" ht="22.5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8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2000</v>
      </c>
      <c r="M24" s="6">
        <f aca="true" t="shared" si="1" ref="M24:M30">P24/4</f>
        <v>2000</v>
      </c>
      <c r="N24" s="6">
        <f aca="true" t="shared" si="2" ref="N24:N30">P24/4</f>
        <v>2000</v>
      </c>
      <c r="O24" s="6">
        <f aca="true" t="shared" si="3" ref="O24:O30">P24/4</f>
        <v>2000</v>
      </c>
      <c r="P24" s="8">
        <v>8000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3353.7</v>
      </c>
      <c r="L25" s="8">
        <f t="shared" si="0"/>
        <v>6036.66</v>
      </c>
      <c r="M25" s="8">
        <f t="shared" si="1"/>
        <v>6036.66</v>
      </c>
      <c r="N25" s="8">
        <f t="shared" si="2"/>
        <v>6036.66</v>
      </c>
      <c r="O25" s="8">
        <f t="shared" si="3"/>
        <v>6036.66</v>
      </c>
      <c r="P25" s="8">
        <f>J25*K25*12</f>
        <v>24146.64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3353.7</v>
      </c>
      <c r="L26" s="8">
        <f t="shared" si="0"/>
        <v>11369.042999999998</v>
      </c>
      <c r="M26" s="8">
        <f t="shared" si="1"/>
        <v>11369.042999999998</v>
      </c>
      <c r="N26" s="8">
        <f t="shared" si="2"/>
        <v>11369.042999999998</v>
      </c>
      <c r="O26" s="8">
        <f t="shared" si="3"/>
        <v>11369.042999999998</v>
      </c>
      <c r="P26" s="8">
        <f>K26*J26*12</f>
        <v>45476.17199999999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3353.7</v>
      </c>
      <c r="L27" s="8">
        <f t="shared" si="0"/>
        <v>4728.717</v>
      </c>
      <c r="M27" s="8">
        <f t="shared" si="1"/>
        <v>4728.717</v>
      </c>
      <c r="N27" s="8">
        <f t="shared" si="2"/>
        <v>4728.717</v>
      </c>
      <c r="O27" s="8">
        <f t="shared" si="3"/>
        <v>4728.717</v>
      </c>
      <c r="P27" s="8">
        <f>K27*J27*12</f>
        <v>18914.868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4000</v>
      </c>
      <c r="M28" s="6">
        <f t="shared" si="1"/>
        <v>4000</v>
      </c>
      <c r="N28" s="6">
        <f t="shared" si="2"/>
        <v>4000</v>
      </c>
      <c r="O28" s="6">
        <f t="shared" si="3"/>
        <v>4000</v>
      </c>
      <c r="P28" s="6">
        <v>16000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3353.7</v>
      </c>
      <c r="L29" s="8">
        <f t="shared" si="0"/>
        <v>12073.32</v>
      </c>
      <c r="M29" s="8">
        <f t="shared" si="1"/>
        <v>12073.32</v>
      </c>
      <c r="N29" s="8">
        <f t="shared" si="2"/>
        <v>12073.32</v>
      </c>
      <c r="O29" s="8">
        <f t="shared" si="3"/>
        <v>12073.32</v>
      </c>
      <c r="P29" s="8">
        <f>J29*K29*12</f>
        <v>48293.28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3353.7</v>
      </c>
      <c r="L30" s="8">
        <f t="shared" si="0"/>
        <v>8048.88</v>
      </c>
      <c r="M30" s="8">
        <f t="shared" si="1"/>
        <v>8048.88</v>
      </c>
      <c r="N30" s="8">
        <f t="shared" si="2"/>
        <v>8048.88</v>
      </c>
      <c r="O30" s="8">
        <f t="shared" si="3"/>
        <v>8048.88</v>
      </c>
      <c r="P30" s="8">
        <f>K30*J30*12</f>
        <v>32195.52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10609.75</v>
      </c>
      <c r="M32" s="8">
        <f>P32/4</f>
        <v>10609.75</v>
      </c>
      <c r="N32" s="8">
        <f>P32/4</f>
        <v>10609.75</v>
      </c>
      <c r="O32" s="6">
        <f>P32/4</f>
        <v>10609.75</v>
      </c>
      <c r="P32" s="8">
        <v>42439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937.6</v>
      </c>
      <c r="L33" s="6"/>
      <c r="M33" s="8">
        <f>P33/2</f>
        <v>468.8</v>
      </c>
      <c r="N33" s="6"/>
      <c r="O33" s="8">
        <f>P33/2</f>
        <v>468.8</v>
      </c>
      <c r="P33" s="8">
        <f>K33*J33</f>
        <v>937.6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3353.7</v>
      </c>
      <c r="L35" s="8">
        <f>P35/4</f>
        <v>4829.3279999999995</v>
      </c>
      <c r="M35" s="8">
        <f>P35/4</f>
        <v>4829.3279999999995</v>
      </c>
      <c r="N35" s="8">
        <f>P35/4</f>
        <v>4829.3279999999995</v>
      </c>
      <c r="O35" s="8">
        <f>P35/4</f>
        <v>4829.3279999999995</v>
      </c>
      <c r="P35" s="8">
        <f>K35*J35*12</f>
        <v>19317.311999999998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3353.7</v>
      </c>
      <c r="L37" s="8">
        <f>P37/4</f>
        <v>19116.09</v>
      </c>
      <c r="M37" s="8">
        <f>P37/4</f>
        <v>19116.09</v>
      </c>
      <c r="N37" s="8">
        <f>P37/4</f>
        <v>19116.09</v>
      </c>
      <c r="O37" s="8">
        <f>P37/4</f>
        <v>19116.09</v>
      </c>
      <c r="P37" s="8">
        <f>K37*J37*12</f>
        <v>76464.36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4829.25</v>
      </c>
      <c r="M39" s="8">
        <f>P39/4</f>
        <v>4829.25</v>
      </c>
      <c r="N39" s="8">
        <f>P39/4</f>
        <v>4829.25</v>
      </c>
      <c r="O39" s="8">
        <f>P39/4</f>
        <v>4829.25</v>
      </c>
      <c r="P39" s="8">
        <v>19317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71</v>
      </c>
      <c r="L40" s="8">
        <f>J40*K40*3</f>
        <v>839.22</v>
      </c>
      <c r="M40" s="8">
        <f>L40</f>
        <v>839.22</v>
      </c>
      <c r="N40" s="8">
        <f>M40</f>
        <v>839.22</v>
      </c>
      <c r="O40" s="8">
        <f>N40</f>
        <v>839.22</v>
      </c>
      <c r="P40" s="8">
        <f>K40*J40*12</f>
        <v>3356.88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88480.258</v>
      </c>
      <c r="M41" s="14">
        <f>SUM(M24:M40)</f>
        <v>88949.058</v>
      </c>
      <c r="N41" s="14">
        <f>SUM(N24:N40)</f>
        <v>88480.258</v>
      </c>
      <c r="O41" s="14">
        <f>SUM(O24:O40)</f>
        <v>88949.058</v>
      </c>
      <c r="P41" s="14">
        <f>SUM(P24:P40)</f>
        <v>354858.632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48389.866559999995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403248.49856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:B1"/>
    <mergeCell ref="A3:B3"/>
    <mergeCell ref="L3:P3"/>
    <mergeCell ref="L4:P4"/>
    <mergeCell ref="A11:H11"/>
    <mergeCell ref="A6:P6"/>
    <mergeCell ref="A7:P7"/>
    <mergeCell ref="A9:H9"/>
    <mergeCell ref="A10:H10"/>
    <mergeCell ref="A15:H15"/>
    <mergeCell ref="A12:H12"/>
    <mergeCell ref="A13:H13"/>
    <mergeCell ref="A14:H14"/>
    <mergeCell ref="A17:H17"/>
    <mergeCell ref="A18:H18"/>
    <mergeCell ref="A20:I20"/>
    <mergeCell ref="A16:H16"/>
    <mergeCell ref="A19:H19"/>
    <mergeCell ref="L21:O21"/>
    <mergeCell ref="P21:P22"/>
    <mergeCell ref="A23:H23"/>
    <mergeCell ref="A24:H24"/>
    <mergeCell ref="A21:H22"/>
    <mergeCell ref="I21:I22"/>
    <mergeCell ref="J21:J22"/>
    <mergeCell ref="K21:K22"/>
    <mergeCell ref="A25:H25"/>
    <mergeCell ref="A26:H26"/>
    <mergeCell ref="A27:H27"/>
    <mergeCell ref="A28:H28"/>
    <mergeCell ref="A29:H29"/>
    <mergeCell ref="A30:H30"/>
    <mergeCell ref="A31:G31"/>
    <mergeCell ref="A32:H32"/>
    <mergeCell ref="A33:H33"/>
    <mergeCell ref="A38:H38"/>
    <mergeCell ref="A39:H39"/>
    <mergeCell ref="A40:H40"/>
    <mergeCell ref="A34:H34"/>
    <mergeCell ref="A35:H35"/>
    <mergeCell ref="A36:H36"/>
    <mergeCell ref="A37:H37"/>
    <mergeCell ref="A41:H41"/>
    <mergeCell ref="A42:H42"/>
    <mergeCell ref="A43:H43"/>
    <mergeCell ref="A44:H4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109167.12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7925.832000000001</v>
      </c>
    </row>
    <row r="13" spans="1:9" ht="16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K25*I19*12</f>
        <v>32750.136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17981.17056</v>
      </c>
    </row>
    <row r="15" spans="1:9" ht="12" customHeight="1">
      <c r="A15" s="139" t="s">
        <v>46</v>
      </c>
      <c r="B15" s="139"/>
      <c r="C15" s="139"/>
      <c r="D15" s="139"/>
      <c r="E15" s="139"/>
      <c r="F15" s="139"/>
      <c r="G15" s="139"/>
      <c r="H15" s="139"/>
      <c r="I15" s="8">
        <f>I14</f>
        <v>17981.17056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131861.91744</v>
      </c>
    </row>
    <row r="17" spans="1:9" ht="21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9.5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1100</v>
      </c>
      <c r="M24" s="6">
        <f aca="true" t="shared" si="1" ref="M24:M30">P24/4</f>
        <v>1100</v>
      </c>
      <c r="N24" s="6">
        <f aca="true" t="shared" si="2" ref="N24:N30">P24/4</f>
        <v>1100</v>
      </c>
      <c r="O24" s="6">
        <f aca="true" t="shared" si="3" ref="O24:O30">P24/4</f>
        <v>1100</v>
      </c>
      <c r="P24" s="8">
        <v>4400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1246.2</v>
      </c>
      <c r="L25" s="8">
        <f t="shared" si="0"/>
        <v>2243.16</v>
      </c>
      <c r="M25" s="8">
        <f t="shared" si="1"/>
        <v>2243.16</v>
      </c>
      <c r="N25" s="8">
        <f t="shared" si="2"/>
        <v>2243.16</v>
      </c>
      <c r="O25" s="8">
        <f t="shared" si="3"/>
        <v>2243.16</v>
      </c>
      <c r="P25" s="8">
        <f>J25*K25*12</f>
        <v>8972.64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1246.2</v>
      </c>
      <c r="L26" s="8">
        <f t="shared" si="0"/>
        <v>4224.6179999999995</v>
      </c>
      <c r="M26" s="8">
        <f t="shared" si="1"/>
        <v>4224.6179999999995</v>
      </c>
      <c r="N26" s="8">
        <f t="shared" si="2"/>
        <v>4224.6179999999995</v>
      </c>
      <c r="O26" s="8">
        <f t="shared" si="3"/>
        <v>4224.6179999999995</v>
      </c>
      <c r="P26" s="8">
        <f>K26*J26*12</f>
        <v>16898.471999999998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1246.2</v>
      </c>
      <c r="L27" s="8">
        <f t="shared" si="0"/>
        <v>1757.1419999999998</v>
      </c>
      <c r="M27" s="8">
        <f t="shared" si="1"/>
        <v>1757.1419999999998</v>
      </c>
      <c r="N27" s="8">
        <f t="shared" si="2"/>
        <v>1757.1419999999998</v>
      </c>
      <c r="O27" s="8">
        <f t="shared" si="3"/>
        <v>1757.1419999999998</v>
      </c>
      <c r="P27" s="8">
        <f>K27*J27*12</f>
        <v>7028.567999999999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2100</v>
      </c>
      <c r="M28" s="6">
        <f t="shared" si="1"/>
        <v>2100</v>
      </c>
      <c r="N28" s="6">
        <f t="shared" si="2"/>
        <v>2100</v>
      </c>
      <c r="O28" s="6">
        <f t="shared" si="3"/>
        <v>2100</v>
      </c>
      <c r="P28" s="6">
        <v>8400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1246.2</v>
      </c>
      <c r="L29" s="8">
        <f t="shared" si="0"/>
        <v>4486.32</v>
      </c>
      <c r="M29" s="8">
        <f t="shared" si="1"/>
        <v>4486.32</v>
      </c>
      <c r="N29" s="8">
        <f t="shared" si="2"/>
        <v>4486.32</v>
      </c>
      <c r="O29" s="8">
        <f t="shared" si="3"/>
        <v>4486.32</v>
      </c>
      <c r="P29" s="8">
        <f>J29*K29*12</f>
        <v>17945.28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1246.2</v>
      </c>
      <c r="L30" s="8">
        <f t="shared" si="0"/>
        <v>2990.88</v>
      </c>
      <c r="M30" s="8">
        <f t="shared" si="1"/>
        <v>2990.88</v>
      </c>
      <c r="N30" s="8">
        <f t="shared" si="2"/>
        <v>2990.88</v>
      </c>
      <c r="O30" s="8">
        <f t="shared" si="3"/>
        <v>2990.88</v>
      </c>
      <c r="P30" s="8">
        <f>K30*J30*12</f>
        <v>11963.52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2881.25</v>
      </c>
      <c r="M32" s="8">
        <f>P32/4</f>
        <v>2881.25</v>
      </c>
      <c r="N32" s="8">
        <f>P32/4</f>
        <v>2881.25</v>
      </c>
      <c r="O32" s="8">
        <f>P32/4</f>
        <v>2881.25</v>
      </c>
      <c r="P32" s="8">
        <v>11525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446</v>
      </c>
      <c r="L33" s="6"/>
      <c r="M33" s="8">
        <f>P33/2</f>
        <v>223</v>
      </c>
      <c r="N33" s="6"/>
      <c r="O33" s="8">
        <f>P33/2</f>
        <v>223</v>
      </c>
      <c r="P33" s="8">
        <f>K33*J33</f>
        <v>446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1246.2</v>
      </c>
      <c r="L35" s="8">
        <f>P35/4</f>
        <v>1794.5280000000002</v>
      </c>
      <c r="M35" s="8">
        <f>P35/4</f>
        <v>1794.5280000000002</v>
      </c>
      <c r="N35" s="8">
        <f>P35/4</f>
        <v>1794.5280000000002</v>
      </c>
      <c r="O35" s="8">
        <f>P35/4</f>
        <v>1794.5280000000002</v>
      </c>
      <c r="P35" s="8">
        <f>K35*J35*12</f>
        <v>7178.112000000001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1246.2</v>
      </c>
      <c r="L37" s="8">
        <f>P37/4</f>
        <v>7103.34</v>
      </c>
      <c r="M37" s="8">
        <f>P37/4</f>
        <v>7103.34</v>
      </c>
      <c r="N37" s="8">
        <f>P37/4</f>
        <v>7103.34</v>
      </c>
      <c r="O37" s="8">
        <f>P37/4</f>
        <v>7103.34</v>
      </c>
      <c r="P37" s="8">
        <f>K37*J37*12</f>
        <v>28413.36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1794.5</v>
      </c>
      <c r="M39" s="8">
        <f>P39/4</f>
        <v>1794.5</v>
      </c>
      <c r="N39" s="8">
        <f>P39/4</f>
        <v>1794.5</v>
      </c>
      <c r="O39" s="8">
        <f>P39/4</f>
        <v>1794.5</v>
      </c>
      <c r="P39" s="8">
        <v>7178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32</v>
      </c>
      <c r="L40" s="8">
        <f>J40*K40*3</f>
        <v>378.24</v>
      </c>
      <c r="M40" s="8">
        <f>L40</f>
        <v>378.24</v>
      </c>
      <c r="N40" s="8">
        <f>M40</f>
        <v>378.24</v>
      </c>
      <c r="O40" s="8">
        <f>N40</f>
        <v>378.24</v>
      </c>
      <c r="P40" s="8">
        <f>K40*J40*12</f>
        <v>1512.96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32853.978</v>
      </c>
      <c r="M41" s="14">
        <f>SUM(M24:M40)</f>
        <v>33076.978</v>
      </c>
      <c r="N41" s="14">
        <f>SUM(N24:N40)</f>
        <v>32853.978</v>
      </c>
      <c r="O41" s="14">
        <f>SUM(O24:O40)</f>
        <v>33076.978</v>
      </c>
      <c r="P41" s="14">
        <f>SUM(P24:P40)</f>
        <v>131861.912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17981.17056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149843.08256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:B1"/>
    <mergeCell ref="A3:B3"/>
    <mergeCell ref="L3:P3"/>
    <mergeCell ref="L4:P4"/>
    <mergeCell ref="A6:P6"/>
    <mergeCell ref="A7:P7"/>
    <mergeCell ref="A9:H9"/>
    <mergeCell ref="A10:H10"/>
    <mergeCell ref="A11:H11"/>
    <mergeCell ref="A16:H16"/>
    <mergeCell ref="A12:H12"/>
    <mergeCell ref="A13:H13"/>
    <mergeCell ref="A14:H14"/>
    <mergeCell ref="A15:H15"/>
    <mergeCell ref="A17:H17"/>
    <mergeCell ref="A20:I20"/>
    <mergeCell ref="A18:H18"/>
    <mergeCell ref="A19:H19"/>
    <mergeCell ref="L21:O21"/>
    <mergeCell ref="P21:P22"/>
    <mergeCell ref="A23:H23"/>
    <mergeCell ref="A24:H24"/>
    <mergeCell ref="A21:H22"/>
    <mergeCell ref="I21:I22"/>
    <mergeCell ref="J21:J22"/>
    <mergeCell ref="K21:K22"/>
    <mergeCell ref="A25:H25"/>
    <mergeCell ref="A26:H26"/>
    <mergeCell ref="A27:H27"/>
    <mergeCell ref="A28:H28"/>
    <mergeCell ref="A29:H29"/>
    <mergeCell ref="A30:H30"/>
    <mergeCell ref="A31:G31"/>
    <mergeCell ref="A32:H32"/>
    <mergeCell ref="A33:H33"/>
    <mergeCell ref="A38:H38"/>
    <mergeCell ref="A39:H39"/>
    <mergeCell ref="A40:H40"/>
    <mergeCell ref="A34:H34"/>
    <mergeCell ref="A35:H35"/>
    <mergeCell ref="A36:H36"/>
    <mergeCell ref="A37:H37"/>
    <mergeCell ref="A41:H41"/>
    <mergeCell ref="A42:H42"/>
    <mergeCell ref="A43:H43"/>
    <mergeCell ref="A44:H4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40">
      <selection activeCell="P49" sqref="P4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2.09765625" style="0" customWidth="1"/>
    <col min="7" max="7" width="1.1015625" style="0" customWidth="1"/>
    <col min="8" max="8" width="0.3046875" style="0" customWidth="1"/>
    <col min="9" max="9" width="8.09765625" style="0" customWidth="1"/>
    <col min="10" max="10" width="5.8984375" style="0" customWidth="1"/>
    <col min="11" max="11" width="7.8984375" style="0" customWidth="1"/>
    <col min="12" max="12" width="7.59765625" style="0" customWidth="1"/>
    <col min="13" max="13" width="6.8984375" style="0" customWidth="1"/>
    <col min="14" max="14" width="7.09765625" style="0" customWidth="1"/>
    <col min="15" max="15" width="6.3984375" style="0" customWidth="1"/>
    <col min="16" max="16" width="7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2" customHeight="1">
      <c r="A9" s="112"/>
      <c r="B9" s="112"/>
      <c r="C9" s="112"/>
      <c r="D9" s="112"/>
      <c r="E9" s="112"/>
      <c r="F9" s="112"/>
      <c r="G9" s="112"/>
      <c r="H9" s="112"/>
      <c r="I9" s="42" t="s">
        <v>6</v>
      </c>
    </row>
    <row r="10" spans="1:9" ht="12.7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(K37*I24*12)+(455.9*10.61*12)+(14*5.09*12)</f>
        <v>293833.032</v>
      </c>
    </row>
    <row r="12" spans="1:9" ht="21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K33*I25*12</f>
        <v>24493.631999999998</v>
      </c>
    </row>
    <row r="13" spans="1:9" ht="21" customHeight="1">
      <c r="A13" s="62" t="s">
        <v>105</v>
      </c>
      <c r="B13" s="62"/>
      <c r="C13" s="62"/>
      <c r="D13" s="62"/>
      <c r="E13" s="62"/>
      <c r="F13" s="62"/>
      <c r="G13" s="62"/>
      <c r="H13" s="62"/>
      <c r="I13" s="8">
        <f>K38*I26*12</f>
        <v>117669.24</v>
      </c>
    </row>
    <row r="14" spans="1:9" ht="12" customHeight="1">
      <c r="A14" s="62" t="s">
        <v>106</v>
      </c>
      <c r="B14" s="62"/>
      <c r="C14" s="62"/>
      <c r="D14" s="62"/>
      <c r="E14" s="62"/>
      <c r="F14" s="62"/>
      <c r="G14" s="62"/>
      <c r="H14" s="62"/>
      <c r="I14" s="8">
        <f>K38*I27*12</f>
        <v>88860.56400000001</v>
      </c>
    </row>
    <row r="15" spans="1:9" ht="12" customHeight="1">
      <c r="A15" s="108" t="s">
        <v>38</v>
      </c>
      <c r="B15" s="108"/>
      <c r="C15" s="108"/>
      <c r="D15" s="108"/>
      <c r="E15" s="108"/>
      <c r="F15" s="108"/>
      <c r="G15" s="108"/>
      <c r="H15" s="108"/>
      <c r="I15" s="8"/>
    </row>
    <row r="16" spans="1:9" ht="12.75" customHeight="1">
      <c r="A16" s="129" t="s">
        <v>99</v>
      </c>
      <c r="B16" s="129"/>
      <c r="C16" s="129"/>
      <c r="D16" s="129"/>
      <c r="E16" s="129"/>
      <c r="F16" s="129"/>
      <c r="G16" s="129"/>
      <c r="H16" s="129"/>
      <c r="I16" s="6">
        <f>100*12</f>
        <v>1200</v>
      </c>
    </row>
    <row r="17" spans="1:9" ht="12" customHeight="1">
      <c r="A17" s="109" t="s">
        <v>53</v>
      </c>
      <c r="B17" s="109"/>
      <c r="C17" s="109"/>
      <c r="D17" s="109"/>
      <c r="E17" s="109"/>
      <c r="F17" s="109"/>
      <c r="G17" s="109"/>
      <c r="H17" s="109"/>
      <c r="I17" s="6">
        <f>100*12</f>
        <v>1200</v>
      </c>
    </row>
    <row r="18" spans="1:9" ht="12" customHeight="1">
      <c r="A18" s="122" t="s">
        <v>42</v>
      </c>
      <c r="B18" s="122"/>
      <c r="C18" s="122"/>
      <c r="D18" s="122"/>
      <c r="E18" s="122"/>
      <c r="F18" s="122"/>
      <c r="G18" s="122"/>
      <c r="H18" s="122"/>
      <c r="I18" s="13">
        <f>SUM(I16:I17)</f>
        <v>2400</v>
      </c>
    </row>
    <row r="19" spans="1:9" ht="11.25" customHeight="1">
      <c r="A19" s="125" t="s">
        <v>43</v>
      </c>
      <c r="B19" s="126"/>
      <c r="C19" s="126"/>
      <c r="D19" s="126"/>
      <c r="E19" s="126"/>
      <c r="F19" s="126"/>
      <c r="G19" s="126"/>
      <c r="H19" s="127"/>
      <c r="I19" s="16"/>
    </row>
    <row r="20" spans="1:9" ht="12" customHeight="1">
      <c r="A20" s="119" t="s">
        <v>44</v>
      </c>
      <c r="B20" s="120"/>
      <c r="C20" s="120"/>
      <c r="D20" s="120"/>
      <c r="E20" s="120"/>
      <c r="F20" s="120"/>
      <c r="G20" s="120"/>
      <c r="H20" s="121"/>
      <c r="I20" s="19">
        <f>SUM(I11:I14)*12%</f>
        <v>62982.776159999994</v>
      </c>
    </row>
    <row r="21" spans="1:9" ht="12" customHeight="1">
      <c r="A21" s="119" t="s">
        <v>45</v>
      </c>
      <c r="B21" s="120"/>
      <c r="C21" s="120"/>
      <c r="D21" s="120"/>
      <c r="E21" s="120"/>
      <c r="F21" s="120"/>
      <c r="G21" s="120"/>
      <c r="H21" s="121"/>
      <c r="I21" s="20">
        <f>I18*27%</f>
        <v>648</v>
      </c>
    </row>
    <row r="22" spans="1:9" ht="11.25" customHeight="1">
      <c r="A22" s="91" t="s">
        <v>46</v>
      </c>
      <c r="B22" s="92"/>
      <c r="C22" s="92"/>
      <c r="D22" s="92"/>
      <c r="E22" s="92"/>
      <c r="F22" s="92"/>
      <c r="G22" s="92"/>
      <c r="H22" s="93"/>
      <c r="I22" s="8">
        <f>I20+I21</f>
        <v>63630.776159999994</v>
      </c>
    </row>
    <row r="23" spans="1:9" ht="11.25" customHeight="1">
      <c r="A23" s="124" t="s">
        <v>4</v>
      </c>
      <c r="B23" s="124"/>
      <c r="C23" s="124"/>
      <c r="D23" s="124"/>
      <c r="E23" s="124"/>
      <c r="F23" s="124"/>
      <c r="G23" s="124"/>
      <c r="H23" s="124"/>
      <c r="I23" s="14">
        <f>SUM(I11:I17)-I22</f>
        <v>463625.69184</v>
      </c>
    </row>
    <row r="24" spans="1:9" ht="21" customHeight="1">
      <c r="A24" s="61" t="s">
        <v>5</v>
      </c>
      <c r="B24" s="61"/>
      <c r="C24" s="61"/>
      <c r="D24" s="61"/>
      <c r="E24" s="61"/>
      <c r="F24" s="61"/>
      <c r="G24" s="61"/>
      <c r="H24" s="61"/>
      <c r="I24" s="28">
        <v>5.79</v>
      </c>
    </row>
    <row r="25" spans="1:9" ht="21" customHeight="1">
      <c r="A25" s="62" t="s">
        <v>101</v>
      </c>
      <c r="B25" s="62"/>
      <c r="C25" s="62"/>
      <c r="D25" s="62"/>
      <c r="E25" s="62"/>
      <c r="F25" s="62"/>
      <c r="G25" s="62"/>
      <c r="H25" s="62"/>
      <c r="I25" s="6">
        <v>0.53</v>
      </c>
    </row>
    <row r="26" spans="1:9" ht="19.5" customHeight="1">
      <c r="A26" s="62" t="s">
        <v>102</v>
      </c>
      <c r="B26" s="62"/>
      <c r="C26" s="62"/>
      <c r="D26" s="62"/>
      <c r="E26" s="62"/>
      <c r="F26" s="62"/>
      <c r="G26" s="62"/>
      <c r="H26" s="62"/>
      <c r="I26" s="6">
        <v>2.9</v>
      </c>
    </row>
    <row r="27" spans="1:9" ht="13.5" customHeight="1">
      <c r="A27" s="62" t="s">
        <v>103</v>
      </c>
      <c r="B27" s="62"/>
      <c r="C27" s="62"/>
      <c r="D27" s="62"/>
      <c r="E27" s="62"/>
      <c r="F27" s="62"/>
      <c r="G27" s="62"/>
      <c r="H27" s="62"/>
      <c r="I27" s="6">
        <v>2.19</v>
      </c>
    </row>
    <row r="28" spans="1:9" ht="12" customHeight="1">
      <c r="A28" s="123"/>
      <c r="B28" s="123"/>
      <c r="C28" s="123"/>
      <c r="D28" s="123"/>
      <c r="E28" s="123"/>
      <c r="F28" s="123"/>
      <c r="G28" s="123"/>
      <c r="H28" s="123"/>
      <c r="I28" s="123"/>
    </row>
    <row r="29" spans="1:16" ht="12" customHeight="1">
      <c r="A29" s="130" t="s">
        <v>7</v>
      </c>
      <c r="B29" s="130"/>
      <c r="C29" s="130"/>
      <c r="D29" s="130"/>
      <c r="E29" s="130"/>
      <c r="F29" s="130"/>
      <c r="G29" s="130"/>
      <c r="H29" s="130"/>
      <c r="I29" s="131" t="s">
        <v>8</v>
      </c>
      <c r="J29" s="131" t="s">
        <v>9</v>
      </c>
      <c r="K29" s="131" t="s">
        <v>10</v>
      </c>
      <c r="L29" s="133" t="s">
        <v>11</v>
      </c>
      <c r="M29" s="133"/>
      <c r="N29" s="133"/>
      <c r="O29" s="134"/>
      <c r="P29" s="130" t="s">
        <v>16</v>
      </c>
    </row>
    <row r="30" spans="1:16" ht="10.5" customHeight="1">
      <c r="A30" s="130"/>
      <c r="B30" s="130"/>
      <c r="C30" s="130"/>
      <c r="D30" s="130"/>
      <c r="E30" s="130"/>
      <c r="F30" s="130"/>
      <c r="G30" s="130"/>
      <c r="H30" s="130"/>
      <c r="I30" s="132"/>
      <c r="J30" s="132"/>
      <c r="K30" s="132"/>
      <c r="L30" s="43" t="s">
        <v>12</v>
      </c>
      <c r="M30" s="43" t="s">
        <v>13</v>
      </c>
      <c r="N30" s="43" t="s">
        <v>14</v>
      </c>
      <c r="O30" s="43" t="s">
        <v>15</v>
      </c>
      <c r="P30" s="130"/>
    </row>
    <row r="31" spans="1:16" ht="15">
      <c r="A31" s="45" t="s">
        <v>17</v>
      </c>
      <c r="B31" s="46"/>
      <c r="C31" s="46"/>
      <c r="D31" s="46"/>
      <c r="E31" s="46"/>
      <c r="F31" s="46"/>
      <c r="G31" s="46"/>
      <c r="H31" s="47"/>
      <c r="I31" s="5"/>
      <c r="J31" s="2"/>
      <c r="K31" s="2"/>
      <c r="L31" s="6"/>
      <c r="M31" s="6"/>
      <c r="N31" s="6"/>
      <c r="O31" s="6"/>
      <c r="P31" s="2"/>
    </row>
    <row r="32" spans="1:16" ht="14.25" customHeight="1">
      <c r="A32" s="48" t="s">
        <v>18</v>
      </c>
      <c r="B32" s="49"/>
      <c r="C32" s="49"/>
      <c r="D32" s="49"/>
      <c r="E32" s="49"/>
      <c r="F32" s="49"/>
      <c r="G32" s="49"/>
      <c r="H32" s="84"/>
      <c r="I32" s="5"/>
      <c r="J32" s="2"/>
      <c r="K32" s="2"/>
      <c r="L32" s="6">
        <f aca="true" t="shared" si="0" ref="L32:L40">P32/4</f>
        <v>4500</v>
      </c>
      <c r="M32" s="6">
        <f aca="true" t="shared" si="1" ref="M32:M38">P32/4</f>
        <v>4500</v>
      </c>
      <c r="N32" s="6">
        <f aca="true" t="shared" si="2" ref="N32:N38">P32/4</f>
        <v>4500</v>
      </c>
      <c r="O32" s="6">
        <f aca="true" t="shared" si="3" ref="O32:O38">P32/4</f>
        <v>4500</v>
      </c>
      <c r="P32" s="8">
        <v>18000</v>
      </c>
    </row>
    <row r="33" spans="1:18" ht="22.5">
      <c r="A33" s="48" t="s">
        <v>19</v>
      </c>
      <c r="B33" s="49"/>
      <c r="C33" s="49"/>
      <c r="D33" s="49"/>
      <c r="E33" s="49"/>
      <c r="F33" s="49"/>
      <c r="G33" s="49"/>
      <c r="H33" s="84"/>
      <c r="I33" s="4" t="s">
        <v>23</v>
      </c>
      <c r="J33" s="6">
        <v>0.52</v>
      </c>
      <c r="K33" s="6">
        <v>3851.2</v>
      </c>
      <c r="L33" s="8">
        <f t="shared" si="0"/>
        <v>6007.872</v>
      </c>
      <c r="M33" s="8">
        <f t="shared" si="1"/>
        <v>6007.872</v>
      </c>
      <c r="N33" s="8">
        <f t="shared" si="2"/>
        <v>6007.872</v>
      </c>
      <c r="O33" s="8">
        <f t="shared" si="3"/>
        <v>6007.872</v>
      </c>
      <c r="P33" s="8">
        <f>J33*K33*12</f>
        <v>24031.488</v>
      </c>
      <c r="R33" s="12"/>
    </row>
    <row r="34" spans="1:16" ht="22.5">
      <c r="A34" s="48" t="s">
        <v>20</v>
      </c>
      <c r="B34" s="49"/>
      <c r="C34" s="49"/>
      <c r="D34" s="49"/>
      <c r="E34" s="49"/>
      <c r="F34" s="49"/>
      <c r="G34" s="49"/>
      <c r="H34" s="84"/>
      <c r="I34" s="4" t="s">
        <v>23</v>
      </c>
      <c r="J34" s="6">
        <v>0.9</v>
      </c>
      <c r="K34" s="6">
        <v>3851.2</v>
      </c>
      <c r="L34" s="8">
        <f t="shared" si="0"/>
        <v>10398.24</v>
      </c>
      <c r="M34" s="8">
        <f t="shared" si="1"/>
        <v>10398.24</v>
      </c>
      <c r="N34" s="8">
        <f t="shared" si="2"/>
        <v>10398.24</v>
      </c>
      <c r="O34" s="8">
        <f t="shared" si="3"/>
        <v>10398.24</v>
      </c>
      <c r="P34" s="8">
        <f>K34*J34*12</f>
        <v>41592.96</v>
      </c>
    </row>
    <row r="35" spans="1:16" ht="22.5">
      <c r="A35" s="48" t="s">
        <v>21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0.38</v>
      </c>
      <c r="K35" s="6">
        <v>3851.2</v>
      </c>
      <c r="L35" s="8">
        <f t="shared" si="0"/>
        <v>4390.3679999999995</v>
      </c>
      <c r="M35" s="8">
        <f t="shared" si="1"/>
        <v>4390.3679999999995</v>
      </c>
      <c r="N35" s="8">
        <f t="shared" si="2"/>
        <v>4390.3679999999995</v>
      </c>
      <c r="O35" s="8">
        <f t="shared" si="3"/>
        <v>4390.3679999999995</v>
      </c>
      <c r="P35" s="8">
        <f>K35*J35*12</f>
        <v>17561.471999999998</v>
      </c>
    </row>
    <row r="36" spans="1:16" ht="21.75" customHeight="1">
      <c r="A36" s="85" t="s">
        <v>39</v>
      </c>
      <c r="B36" s="86"/>
      <c r="C36" s="86"/>
      <c r="D36" s="86"/>
      <c r="E36" s="86"/>
      <c r="F36" s="86"/>
      <c r="G36" s="86"/>
      <c r="H36" s="87"/>
      <c r="I36" s="4" t="s">
        <v>23</v>
      </c>
      <c r="J36" s="6"/>
      <c r="K36" s="6"/>
      <c r="L36" s="6">
        <f t="shared" si="0"/>
        <v>7500</v>
      </c>
      <c r="M36" s="6">
        <f t="shared" si="1"/>
        <v>7500</v>
      </c>
      <c r="N36" s="6">
        <f t="shared" si="2"/>
        <v>7500</v>
      </c>
      <c r="O36" s="6">
        <f t="shared" si="3"/>
        <v>7500</v>
      </c>
      <c r="P36" s="6">
        <v>30000</v>
      </c>
    </row>
    <row r="37" spans="1:16" ht="22.5">
      <c r="A37" s="48" t="s">
        <v>40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0.95</v>
      </c>
      <c r="K37" s="6">
        <v>3381.3</v>
      </c>
      <c r="L37" s="8">
        <f t="shared" si="0"/>
        <v>9636.705</v>
      </c>
      <c r="M37" s="8">
        <f t="shared" si="1"/>
        <v>9636.705</v>
      </c>
      <c r="N37" s="8">
        <f t="shared" si="2"/>
        <v>9636.705</v>
      </c>
      <c r="O37" s="8">
        <f t="shared" si="3"/>
        <v>9636.705</v>
      </c>
      <c r="P37" s="8">
        <f>J37*K37*12</f>
        <v>38546.82</v>
      </c>
    </row>
    <row r="38" spans="1:16" ht="22.5" customHeight="1">
      <c r="A38" s="48" t="s">
        <v>41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0.8</v>
      </c>
      <c r="K38" s="6">
        <v>3381.3</v>
      </c>
      <c r="L38" s="8">
        <f t="shared" si="0"/>
        <v>8115.120000000001</v>
      </c>
      <c r="M38" s="8">
        <f t="shared" si="1"/>
        <v>8115.120000000001</v>
      </c>
      <c r="N38" s="8">
        <f t="shared" si="2"/>
        <v>8115.120000000001</v>
      </c>
      <c r="O38" s="8">
        <f t="shared" si="3"/>
        <v>8115.120000000001</v>
      </c>
      <c r="P38" s="8">
        <f>J38*K38*12</f>
        <v>32460.480000000003</v>
      </c>
    </row>
    <row r="39" spans="1:16" ht="13.5" customHeight="1">
      <c r="A39" s="48" t="s">
        <v>47</v>
      </c>
      <c r="B39" s="49"/>
      <c r="C39" s="49"/>
      <c r="D39" s="49"/>
      <c r="E39" s="49"/>
      <c r="F39" s="49"/>
      <c r="G39" s="49"/>
      <c r="H39" s="17"/>
      <c r="I39" s="4" t="s">
        <v>24</v>
      </c>
      <c r="J39" s="6">
        <v>200</v>
      </c>
      <c r="K39" s="6">
        <v>1</v>
      </c>
      <c r="L39" s="6">
        <f t="shared" si="0"/>
        <v>600</v>
      </c>
      <c r="M39" s="6">
        <f>L39</f>
        <v>600</v>
      </c>
      <c r="N39" s="6">
        <f>L39</f>
        <v>600</v>
      </c>
      <c r="O39" s="6">
        <f>L39</f>
        <v>600</v>
      </c>
      <c r="P39" s="8">
        <f>J39*K39*12</f>
        <v>2400</v>
      </c>
    </row>
    <row r="40" spans="1:16" ht="24" customHeight="1">
      <c r="A40" s="85" t="s">
        <v>48</v>
      </c>
      <c r="B40" s="86"/>
      <c r="C40" s="86"/>
      <c r="D40" s="86"/>
      <c r="E40" s="86"/>
      <c r="F40" s="86"/>
      <c r="G40" s="86"/>
      <c r="H40" s="87"/>
      <c r="I40" s="5"/>
      <c r="J40" s="6"/>
      <c r="K40" s="2"/>
      <c r="L40" s="8">
        <f t="shared" si="0"/>
        <v>7108.75</v>
      </c>
      <c r="M40" s="8">
        <f>P40/4</f>
        <v>7108.75</v>
      </c>
      <c r="N40" s="8">
        <f>P40/4</f>
        <v>7108.75</v>
      </c>
      <c r="O40" s="8">
        <f>P40/4</f>
        <v>7108.75</v>
      </c>
      <c r="P40" s="8">
        <v>28435</v>
      </c>
    </row>
    <row r="41" spans="1:18" ht="12.75" customHeight="1">
      <c r="A41" s="48" t="s">
        <v>49</v>
      </c>
      <c r="B41" s="49"/>
      <c r="C41" s="49"/>
      <c r="D41" s="49"/>
      <c r="E41" s="49"/>
      <c r="F41" s="49"/>
      <c r="G41" s="49"/>
      <c r="H41" s="84"/>
      <c r="I41" s="6" t="s">
        <v>25</v>
      </c>
      <c r="J41" s="6">
        <v>1</v>
      </c>
      <c r="K41" s="6">
        <v>424.4</v>
      </c>
      <c r="L41" s="6"/>
      <c r="M41" s="8">
        <f>P41/2</f>
        <v>212.2</v>
      </c>
      <c r="N41" s="6"/>
      <c r="O41" s="8">
        <v>212</v>
      </c>
      <c r="P41" s="8">
        <f>K41*J41</f>
        <v>424.4</v>
      </c>
      <c r="R41" s="12"/>
    </row>
    <row r="42" spans="1:18" ht="10.5" customHeight="1">
      <c r="A42" s="45" t="s">
        <v>107</v>
      </c>
      <c r="B42" s="46"/>
      <c r="C42" s="46"/>
      <c r="D42" s="46"/>
      <c r="E42" s="46"/>
      <c r="F42" s="46"/>
      <c r="G42" s="46"/>
      <c r="H42" s="47"/>
      <c r="I42" s="6"/>
      <c r="J42" s="6"/>
      <c r="K42" s="6"/>
      <c r="L42" s="6"/>
      <c r="M42" s="8"/>
      <c r="N42" s="6"/>
      <c r="O42" s="8"/>
      <c r="P42" s="8"/>
      <c r="R42" s="12"/>
    </row>
    <row r="43" spans="1:18" ht="21" customHeight="1">
      <c r="A43" s="48" t="s">
        <v>108</v>
      </c>
      <c r="B43" s="49"/>
      <c r="C43" s="49"/>
      <c r="D43" s="49"/>
      <c r="E43" s="49"/>
      <c r="F43" s="49"/>
      <c r="G43" s="49"/>
      <c r="H43" s="84"/>
      <c r="I43" s="4" t="s">
        <v>23</v>
      </c>
      <c r="J43" s="6">
        <v>0.48</v>
      </c>
      <c r="K43" s="6">
        <v>3851.2</v>
      </c>
      <c r="L43" s="8">
        <f>P43/4</f>
        <v>5545.727999999999</v>
      </c>
      <c r="M43" s="8">
        <f>P43/4</f>
        <v>5545.727999999999</v>
      </c>
      <c r="N43" s="8">
        <f>P43/4</f>
        <v>5545.727999999999</v>
      </c>
      <c r="O43" s="8">
        <f>P43/4</f>
        <v>5545.727999999999</v>
      </c>
      <c r="P43" s="8">
        <f>K43*J43*12</f>
        <v>22182.911999999997</v>
      </c>
      <c r="R43" s="12"/>
    </row>
    <row r="44" spans="1:18" ht="12" customHeight="1">
      <c r="A44" s="45" t="s">
        <v>109</v>
      </c>
      <c r="B44" s="46"/>
      <c r="C44" s="46"/>
      <c r="D44" s="46"/>
      <c r="E44" s="46"/>
      <c r="F44" s="46"/>
      <c r="G44" s="46"/>
      <c r="H44" s="47"/>
      <c r="I44" s="6"/>
      <c r="J44" s="6"/>
      <c r="K44" s="6"/>
      <c r="L44" s="6"/>
      <c r="M44" s="8"/>
      <c r="N44" s="6"/>
      <c r="O44" s="8"/>
      <c r="P44" s="8"/>
      <c r="R44" s="12"/>
    </row>
    <row r="45" spans="1:18" ht="21.75" customHeight="1">
      <c r="A45" s="48" t="s">
        <v>110</v>
      </c>
      <c r="B45" s="49"/>
      <c r="C45" s="49"/>
      <c r="D45" s="49"/>
      <c r="E45" s="49"/>
      <c r="F45" s="49"/>
      <c r="G45" s="49"/>
      <c r="H45" s="84"/>
      <c r="I45" s="4" t="s">
        <v>23</v>
      </c>
      <c r="J45" s="6">
        <v>2.52</v>
      </c>
      <c r="K45" s="6">
        <v>3381.3</v>
      </c>
      <c r="L45" s="8">
        <f>P45/4</f>
        <v>25562.628</v>
      </c>
      <c r="M45" s="8">
        <f>P45/4</f>
        <v>25562.628</v>
      </c>
      <c r="N45" s="8">
        <f>P45/4</f>
        <v>25562.628</v>
      </c>
      <c r="O45" s="8">
        <f>P45/4</f>
        <v>25562.628</v>
      </c>
      <c r="P45" s="8">
        <f>K45*J45*12</f>
        <v>102250.512</v>
      </c>
      <c r="R45" s="12"/>
    </row>
    <row r="46" spans="1:18" ht="12" customHeight="1">
      <c r="A46" s="45" t="s">
        <v>111</v>
      </c>
      <c r="B46" s="46"/>
      <c r="C46" s="46"/>
      <c r="D46" s="46"/>
      <c r="E46" s="46"/>
      <c r="F46" s="46"/>
      <c r="G46" s="46"/>
      <c r="H46" s="47"/>
      <c r="I46" s="4"/>
      <c r="J46" s="6"/>
      <c r="K46" s="6"/>
      <c r="L46" s="6"/>
      <c r="M46" s="8"/>
      <c r="N46" s="6"/>
      <c r="O46" s="8"/>
      <c r="P46" s="8"/>
      <c r="R46" s="12"/>
    </row>
    <row r="47" spans="1:18" ht="22.5">
      <c r="A47" s="48" t="s">
        <v>112</v>
      </c>
      <c r="B47" s="49"/>
      <c r="C47" s="49"/>
      <c r="D47" s="49"/>
      <c r="E47" s="49"/>
      <c r="F47" s="49"/>
      <c r="G47" s="49"/>
      <c r="H47" s="84"/>
      <c r="I47" s="4" t="s">
        <v>23</v>
      </c>
      <c r="J47" s="6">
        <v>1.9</v>
      </c>
      <c r="K47" s="6">
        <v>3381.3</v>
      </c>
      <c r="L47" s="8">
        <f>P47/4</f>
        <v>19273.41</v>
      </c>
      <c r="M47" s="8">
        <f>P47/4</f>
        <v>19273.41</v>
      </c>
      <c r="N47" s="8">
        <f>P47/4</f>
        <v>19273.41</v>
      </c>
      <c r="O47" s="8">
        <f>P47/4</f>
        <v>19273.41</v>
      </c>
      <c r="P47" s="8">
        <f>K47*J47*12</f>
        <v>77093.64</v>
      </c>
      <c r="R47" s="12"/>
    </row>
    <row r="48" spans="1:16" ht="12" customHeight="1">
      <c r="A48" s="45" t="s">
        <v>113</v>
      </c>
      <c r="B48" s="46"/>
      <c r="C48" s="46"/>
      <c r="D48" s="46"/>
      <c r="E48" s="46"/>
      <c r="F48" s="46"/>
      <c r="G48" s="46"/>
      <c r="H48" s="47"/>
      <c r="I48" s="5"/>
      <c r="J48" s="6"/>
      <c r="K48" s="2"/>
      <c r="L48" s="2"/>
      <c r="M48" s="2"/>
      <c r="N48" s="2"/>
      <c r="O48" s="2"/>
      <c r="P48" s="6"/>
    </row>
    <row r="49" spans="1:16" ht="21" customHeight="1">
      <c r="A49" s="85" t="s">
        <v>114</v>
      </c>
      <c r="B49" s="86"/>
      <c r="C49" s="86"/>
      <c r="D49" s="86"/>
      <c r="E49" s="86"/>
      <c r="F49" s="86"/>
      <c r="G49" s="86"/>
      <c r="H49" s="87"/>
      <c r="I49" s="2"/>
      <c r="J49" s="6"/>
      <c r="K49" s="2"/>
      <c r="L49" s="8">
        <f>P49/4</f>
        <v>5459.5</v>
      </c>
      <c r="M49" s="8">
        <f>P49/4</f>
        <v>5459.5</v>
      </c>
      <c r="N49" s="8">
        <f>P49/4</f>
        <v>5459.5</v>
      </c>
      <c r="O49" s="8">
        <f>P49/4</f>
        <v>5459.5</v>
      </c>
      <c r="P49" s="8">
        <v>21838</v>
      </c>
    </row>
    <row r="50" spans="1:16" ht="15" customHeight="1">
      <c r="A50" s="85" t="s">
        <v>115</v>
      </c>
      <c r="B50" s="86"/>
      <c r="C50" s="86"/>
      <c r="D50" s="86"/>
      <c r="E50" s="86"/>
      <c r="F50" s="86"/>
      <c r="G50" s="86"/>
      <c r="H50" s="87"/>
      <c r="I50" s="6" t="s">
        <v>27</v>
      </c>
      <c r="J50" s="6">
        <v>3.94</v>
      </c>
      <c r="K50" s="6">
        <v>144</v>
      </c>
      <c r="L50" s="8">
        <f>J50*K50*3</f>
        <v>1702.08</v>
      </c>
      <c r="M50" s="8">
        <f>L50</f>
        <v>1702.08</v>
      </c>
      <c r="N50" s="8">
        <f>M50</f>
        <v>1702.08</v>
      </c>
      <c r="O50" s="8">
        <f>N50</f>
        <v>1702.08</v>
      </c>
      <c r="P50" s="8">
        <f>J50*K50*12</f>
        <v>6808.32</v>
      </c>
    </row>
    <row r="51" spans="1:17" ht="13.5" customHeight="1">
      <c r="A51" s="45" t="s">
        <v>28</v>
      </c>
      <c r="B51" s="46"/>
      <c r="C51" s="46"/>
      <c r="D51" s="46"/>
      <c r="E51" s="46"/>
      <c r="F51" s="46"/>
      <c r="G51" s="46"/>
      <c r="H51" s="47"/>
      <c r="I51" s="2"/>
      <c r="J51" s="6"/>
      <c r="K51" s="2"/>
      <c r="L51" s="14">
        <f>SUM(L32:L50)</f>
        <v>115800.401</v>
      </c>
      <c r="M51" s="14">
        <f>SUM(M32:M50)</f>
        <v>116012.601</v>
      </c>
      <c r="N51" s="14">
        <f>SUM(N32:N50)</f>
        <v>115800.401</v>
      </c>
      <c r="O51" s="14">
        <f>SUM(O32:O50)</f>
        <v>116012.401</v>
      </c>
      <c r="P51" s="14">
        <f>SUM(P32:P50)</f>
        <v>463626.004</v>
      </c>
      <c r="Q51" s="15"/>
    </row>
    <row r="52" spans="1:16" ht="12.75" customHeight="1">
      <c r="A52" s="85" t="s">
        <v>123</v>
      </c>
      <c r="B52" s="86"/>
      <c r="C52" s="86"/>
      <c r="D52" s="86"/>
      <c r="E52" s="86"/>
      <c r="F52" s="86"/>
      <c r="G52" s="86"/>
      <c r="H52" s="87"/>
      <c r="I52" s="2"/>
      <c r="J52" s="6"/>
      <c r="K52" s="2"/>
      <c r="L52" s="13"/>
      <c r="M52" s="13"/>
      <c r="N52" s="13"/>
      <c r="O52" s="13"/>
      <c r="P52" s="8">
        <f>I22</f>
        <v>63630.776159999994</v>
      </c>
    </row>
    <row r="53" spans="1:16" ht="12" customHeight="1">
      <c r="A53" s="45" t="s">
        <v>28</v>
      </c>
      <c r="B53" s="46"/>
      <c r="C53" s="46"/>
      <c r="D53" s="46"/>
      <c r="E53" s="46"/>
      <c r="F53" s="46"/>
      <c r="G53" s="46"/>
      <c r="H53" s="47"/>
      <c r="I53" s="2"/>
      <c r="J53" s="6"/>
      <c r="K53" s="2"/>
      <c r="L53" s="13"/>
      <c r="M53" s="13"/>
      <c r="N53" s="13"/>
      <c r="O53" s="13"/>
      <c r="P53" s="14">
        <f>P51+P52</f>
        <v>527256.78016</v>
      </c>
    </row>
    <row r="54" spans="1:19" ht="13.5" customHeight="1">
      <c r="A54" s="48" t="s">
        <v>30</v>
      </c>
      <c r="B54" s="49"/>
      <c r="C54" s="49"/>
      <c r="D54" s="49"/>
      <c r="E54" s="49"/>
      <c r="F54" s="49"/>
      <c r="G54" s="49"/>
      <c r="H54" s="84"/>
      <c r="I54" s="2"/>
      <c r="J54" s="6"/>
      <c r="K54" s="2"/>
      <c r="L54" s="2"/>
      <c r="M54" s="2"/>
      <c r="N54" s="2"/>
      <c r="O54" s="2"/>
      <c r="P54" s="6">
        <v>0</v>
      </c>
      <c r="Q54" s="15"/>
      <c r="S54" s="15"/>
    </row>
  </sheetData>
  <mergeCells count="56">
    <mergeCell ref="A25:H25"/>
    <mergeCell ref="A26:H26"/>
    <mergeCell ref="A27:H27"/>
    <mergeCell ref="A19:H19"/>
    <mergeCell ref="A20:H20"/>
    <mergeCell ref="A21:H21"/>
    <mergeCell ref="A22:H22"/>
    <mergeCell ref="A23:H23"/>
    <mergeCell ref="A24:H24"/>
    <mergeCell ref="A54:H54"/>
    <mergeCell ref="A50:H50"/>
    <mergeCell ref="A51:H51"/>
    <mergeCell ref="A52:H52"/>
    <mergeCell ref="A53:H53"/>
    <mergeCell ref="A40:H40"/>
    <mergeCell ref="A41:H41"/>
    <mergeCell ref="A48:H48"/>
    <mergeCell ref="A49:H49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G39"/>
    <mergeCell ref="A32:H32"/>
    <mergeCell ref="A33:H33"/>
    <mergeCell ref="A34:H34"/>
    <mergeCell ref="A35:H35"/>
    <mergeCell ref="K29:K30"/>
    <mergeCell ref="L29:O29"/>
    <mergeCell ref="P29:P30"/>
    <mergeCell ref="A31:H31"/>
    <mergeCell ref="A28:I28"/>
    <mergeCell ref="A29:H30"/>
    <mergeCell ref="I29:I30"/>
    <mergeCell ref="J29:J30"/>
    <mergeCell ref="A17:H17"/>
    <mergeCell ref="A18:H18"/>
    <mergeCell ref="A11:H11"/>
    <mergeCell ref="A15:H15"/>
    <mergeCell ref="A16:H16"/>
    <mergeCell ref="A12:H12"/>
    <mergeCell ref="A13:H13"/>
    <mergeCell ref="A14:H14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4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(K29*I17*12)+(50*3.76*12)</f>
        <v>119675.04000000001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8842.944</v>
      </c>
    </row>
    <row r="13" spans="1:9" ht="16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K30*I19*12</f>
        <v>35225.712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19649.24352</v>
      </c>
    </row>
    <row r="15" spans="1:9" ht="12" customHeight="1">
      <c r="A15" s="139" t="s">
        <v>46</v>
      </c>
      <c r="B15" s="139"/>
      <c r="C15" s="139"/>
      <c r="D15" s="139"/>
      <c r="E15" s="139"/>
      <c r="F15" s="139"/>
      <c r="G15" s="139"/>
      <c r="H15" s="139"/>
      <c r="I15" s="8">
        <f>I14</f>
        <v>19649.24352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144094.45248</v>
      </c>
    </row>
    <row r="17" spans="1:9" ht="21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6.5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1500</v>
      </c>
      <c r="M24" s="6">
        <f aca="true" t="shared" si="1" ref="M24:M30">P24/4</f>
        <v>1500</v>
      </c>
      <c r="N24" s="6">
        <f aca="true" t="shared" si="2" ref="N24:N30">P24/4</f>
        <v>1500</v>
      </c>
      <c r="O24" s="6">
        <f aca="true" t="shared" si="3" ref="O24:O30">P24/4</f>
        <v>1500</v>
      </c>
      <c r="P24" s="8">
        <v>6000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f>1340.4+50</f>
        <v>1390.4</v>
      </c>
      <c r="L25" s="8">
        <f t="shared" si="0"/>
        <v>2502.7200000000003</v>
      </c>
      <c r="M25" s="8">
        <f t="shared" si="1"/>
        <v>2502.7200000000003</v>
      </c>
      <c r="N25" s="8">
        <f t="shared" si="2"/>
        <v>2502.7200000000003</v>
      </c>
      <c r="O25" s="8">
        <f t="shared" si="3"/>
        <v>2502.7200000000003</v>
      </c>
      <c r="P25" s="8">
        <f>J25*K25*12</f>
        <v>10010.880000000001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f>1340.4+50</f>
        <v>1390.4</v>
      </c>
      <c r="L26" s="8">
        <f t="shared" si="0"/>
        <v>4713.456</v>
      </c>
      <c r="M26" s="8">
        <f t="shared" si="1"/>
        <v>4713.456</v>
      </c>
      <c r="N26" s="8">
        <f t="shared" si="2"/>
        <v>4713.456</v>
      </c>
      <c r="O26" s="8">
        <f t="shared" si="3"/>
        <v>4713.456</v>
      </c>
      <c r="P26" s="8">
        <f>K26*J26*12</f>
        <v>18853.824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f>1340.4+50</f>
        <v>1390.4</v>
      </c>
      <c r="L27" s="8">
        <f t="shared" si="0"/>
        <v>1960.4640000000002</v>
      </c>
      <c r="M27" s="8">
        <f t="shared" si="1"/>
        <v>1960.4640000000002</v>
      </c>
      <c r="N27" s="8">
        <f t="shared" si="2"/>
        <v>1960.4640000000002</v>
      </c>
      <c r="O27" s="8">
        <f t="shared" si="3"/>
        <v>1960.4640000000002</v>
      </c>
      <c r="P27" s="8">
        <f>K27*J27*12</f>
        <v>7841.856000000001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2250</v>
      </c>
      <c r="M28" s="6">
        <f t="shared" si="1"/>
        <v>2250</v>
      </c>
      <c r="N28" s="6">
        <f t="shared" si="2"/>
        <v>2250</v>
      </c>
      <c r="O28" s="6">
        <f t="shared" si="3"/>
        <v>2250</v>
      </c>
      <c r="P28" s="6">
        <v>9000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1340.4</v>
      </c>
      <c r="L29" s="8">
        <f t="shared" si="0"/>
        <v>4825.4400000000005</v>
      </c>
      <c r="M29" s="8">
        <f t="shared" si="1"/>
        <v>4825.4400000000005</v>
      </c>
      <c r="N29" s="8">
        <f t="shared" si="2"/>
        <v>4825.4400000000005</v>
      </c>
      <c r="O29" s="8">
        <f t="shared" si="3"/>
        <v>4825.4400000000005</v>
      </c>
      <c r="P29" s="8">
        <f>J29*K29*12</f>
        <v>19301.760000000002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1340.4</v>
      </c>
      <c r="L30" s="8">
        <f t="shared" si="0"/>
        <v>3216.9600000000005</v>
      </c>
      <c r="M30" s="8">
        <f t="shared" si="1"/>
        <v>3216.9600000000005</v>
      </c>
      <c r="N30" s="8">
        <f t="shared" si="2"/>
        <v>3216.9600000000005</v>
      </c>
      <c r="O30" s="8">
        <f t="shared" si="3"/>
        <v>3216.9600000000005</v>
      </c>
      <c r="P30" s="8">
        <f>K30*J30*12</f>
        <v>12867.840000000002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2888.25</v>
      </c>
      <c r="M32" s="8">
        <f>P32/4</f>
        <v>2888.25</v>
      </c>
      <c r="N32" s="8">
        <f>P32/4</f>
        <v>2888.25</v>
      </c>
      <c r="O32" s="8">
        <f>P32/4</f>
        <v>2888.25</v>
      </c>
      <c r="P32" s="8">
        <v>11553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526.1</v>
      </c>
      <c r="L33" s="6"/>
      <c r="M33" s="8">
        <f>P33/2</f>
        <v>263.05</v>
      </c>
      <c r="N33" s="6"/>
      <c r="O33" s="8">
        <f>P33/2</f>
        <v>263.05</v>
      </c>
      <c r="P33" s="8">
        <f>K33*J33</f>
        <v>526.1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f>1340.4+50</f>
        <v>1390.4</v>
      </c>
      <c r="L35" s="8">
        <f>P35/4</f>
        <v>2002.1760000000002</v>
      </c>
      <c r="M35" s="8">
        <f>P35/4</f>
        <v>2002.1760000000002</v>
      </c>
      <c r="N35" s="8">
        <f>P35/4</f>
        <v>2002.1760000000002</v>
      </c>
      <c r="O35" s="8">
        <f>P35/4</f>
        <v>2002.1760000000002</v>
      </c>
      <c r="P35" s="8">
        <f>K35*J35*12</f>
        <v>8008.704000000001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1340.4</v>
      </c>
      <c r="L37" s="8">
        <f>P37/4</f>
        <v>7640.280000000001</v>
      </c>
      <c r="M37" s="8">
        <f>P37/4</f>
        <v>7640.280000000001</v>
      </c>
      <c r="N37" s="8">
        <f>P37/4</f>
        <v>7640.280000000001</v>
      </c>
      <c r="O37" s="8">
        <f>P37/4</f>
        <v>7640.280000000001</v>
      </c>
      <c r="P37" s="8">
        <f>K37*J37*12</f>
        <v>30561.120000000003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2002.25</v>
      </c>
      <c r="M39" s="8">
        <f>P39/4</f>
        <v>2002.25</v>
      </c>
      <c r="N39" s="8">
        <f>P39/4</f>
        <v>2002.25</v>
      </c>
      <c r="O39" s="8">
        <f>P39/4</f>
        <v>2002.25</v>
      </c>
      <c r="P39" s="8">
        <v>8009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33</v>
      </c>
      <c r="L40" s="8">
        <f>J40*K40*3</f>
        <v>390.06000000000006</v>
      </c>
      <c r="M40" s="8">
        <f>L40</f>
        <v>390.06000000000006</v>
      </c>
      <c r="N40" s="8">
        <f>M40</f>
        <v>390.06000000000006</v>
      </c>
      <c r="O40" s="8">
        <f>N40</f>
        <v>390.06000000000006</v>
      </c>
      <c r="P40" s="8">
        <f>K40*J40*12</f>
        <v>1560.2400000000002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35892.056</v>
      </c>
      <c r="M41" s="14">
        <f>SUM(M24:M40)</f>
        <v>36155.106</v>
      </c>
      <c r="N41" s="14">
        <f>SUM(N24:N40)</f>
        <v>35892.056</v>
      </c>
      <c r="O41" s="14">
        <f>SUM(O24:O40)</f>
        <v>36155.106</v>
      </c>
      <c r="P41" s="14">
        <f>SUM(P24:P40)</f>
        <v>144094.324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19649.24352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163743.56751999998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:B1"/>
    <mergeCell ref="A3:B3"/>
    <mergeCell ref="L3:P3"/>
    <mergeCell ref="L4:P4"/>
    <mergeCell ref="A11:H11"/>
    <mergeCell ref="A6:P6"/>
    <mergeCell ref="A7:P7"/>
    <mergeCell ref="A9:H9"/>
    <mergeCell ref="A10:H10"/>
    <mergeCell ref="A20:I20"/>
    <mergeCell ref="A14:H14"/>
    <mergeCell ref="A15:H15"/>
    <mergeCell ref="A16:H16"/>
    <mergeCell ref="L21:O21"/>
    <mergeCell ref="P21:P22"/>
    <mergeCell ref="A23:H23"/>
    <mergeCell ref="A24:H24"/>
    <mergeCell ref="A21:H22"/>
    <mergeCell ref="I21:I22"/>
    <mergeCell ref="J21:J22"/>
    <mergeCell ref="K21:K22"/>
    <mergeCell ref="A25:H25"/>
    <mergeCell ref="A26:H26"/>
    <mergeCell ref="A27:H27"/>
    <mergeCell ref="A28:H28"/>
    <mergeCell ref="A29:H29"/>
    <mergeCell ref="A30:H30"/>
    <mergeCell ref="A31:G31"/>
    <mergeCell ref="A32:H32"/>
    <mergeCell ref="A33:H33"/>
    <mergeCell ref="A38:H38"/>
    <mergeCell ref="A39:H39"/>
    <mergeCell ref="A40:H40"/>
    <mergeCell ref="A34:H34"/>
    <mergeCell ref="A35:H35"/>
    <mergeCell ref="A36:H36"/>
    <mergeCell ref="A37:H37"/>
    <mergeCell ref="A41:H41"/>
    <mergeCell ref="A42:H42"/>
    <mergeCell ref="A43:H43"/>
    <mergeCell ref="A44:H44"/>
    <mergeCell ref="A12:H12"/>
    <mergeCell ref="A13:H13"/>
    <mergeCell ref="A18:H18"/>
    <mergeCell ref="A19:H19"/>
    <mergeCell ref="A17:H17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89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119906.88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8705.568000000001</v>
      </c>
    </row>
    <row r="13" spans="1:9" ht="11.2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K30*I19*12</f>
        <v>35972.064</v>
      </c>
    </row>
    <row r="14" spans="1:9" ht="12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19750.14144</v>
      </c>
    </row>
    <row r="15" spans="1:9" ht="12" customHeight="1">
      <c r="A15" s="139" t="s">
        <v>46</v>
      </c>
      <c r="B15" s="139"/>
      <c r="C15" s="139"/>
      <c r="D15" s="139"/>
      <c r="E15" s="139"/>
      <c r="F15" s="139"/>
      <c r="G15" s="139"/>
      <c r="H15" s="139"/>
      <c r="I15" s="8">
        <f>I14</f>
        <v>19750.14144</v>
      </c>
    </row>
    <row r="16" spans="1:9" ht="13.5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144834.37055999998</v>
      </c>
    </row>
    <row r="17" spans="1:9" ht="21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21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1100</v>
      </c>
      <c r="M24" s="6">
        <f aca="true" t="shared" si="1" ref="M24:M30">P24/4</f>
        <v>1100</v>
      </c>
      <c r="N24" s="6">
        <f aca="true" t="shared" si="2" ref="N24:N30">P24/4</f>
        <v>1100</v>
      </c>
      <c r="O24" s="6">
        <f aca="true" t="shared" si="3" ref="O24:O30">P24/4</f>
        <v>1100</v>
      </c>
      <c r="P24" s="8">
        <v>4400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1368.8</v>
      </c>
      <c r="L25" s="8">
        <f t="shared" si="0"/>
        <v>2463.84</v>
      </c>
      <c r="M25" s="8">
        <f t="shared" si="1"/>
        <v>2463.84</v>
      </c>
      <c r="N25" s="8">
        <f t="shared" si="2"/>
        <v>2463.84</v>
      </c>
      <c r="O25" s="8">
        <f t="shared" si="3"/>
        <v>2463.84</v>
      </c>
      <c r="P25" s="8">
        <f>J25*K25*12</f>
        <v>9855.36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1368.8</v>
      </c>
      <c r="L26" s="8">
        <f t="shared" si="0"/>
        <v>4640.232</v>
      </c>
      <c r="M26" s="8">
        <f t="shared" si="1"/>
        <v>4640.232</v>
      </c>
      <c r="N26" s="8">
        <f t="shared" si="2"/>
        <v>4640.232</v>
      </c>
      <c r="O26" s="8">
        <f t="shared" si="3"/>
        <v>4640.232</v>
      </c>
      <c r="P26" s="8">
        <f>K26*J26*12</f>
        <v>18560.928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1368.8</v>
      </c>
      <c r="L27" s="8">
        <f t="shared" si="0"/>
        <v>1930.0079999999998</v>
      </c>
      <c r="M27" s="8">
        <f t="shared" si="1"/>
        <v>1930.0079999999998</v>
      </c>
      <c r="N27" s="8">
        <f t="shared" si="2"/>
        <v>1930.0079999999998</v>
      </c>
      <c r="O27" s="8">
        <f t="shared" si="3"/>
        <v>1930.0079999999998</v>
      </c>
      <c r="P27" s="8">
        <f>K27*J27*12</f>
        <v>7720.031999999999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2100</v>
      </c>
      <c r="M28" s="6">
        <f t="shared" si="1"/>
        <v>2100</v>
      </c>
      <c r="N28" s="6">
        <f t="shared" si="2"/>
        <v>2100</v>
      </c>
      <c r="O28" s="6">
        <f t="shared" si="3"/>
        <v>2100</v>
      </c>
      <c r="P28" s="6">
        <v>8400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1368.8</v>
      </c>
      <c r="L29" s="8">
        <f t="shared" si="0"/>
        <v>4927.68</v>
      </c>
      <c r="M29" s="8">
        <f t="shared" si="1"/>
        <v>4927.68</v>
      </c>
      <c r="N29" s="8">
        <f t="shared" si="2"/>
        <v>4927.68</v>
      </c>
      <c r="O29" s="8">
        <f t="shared" si="3"/>
        <v>4927.68</v>
      </c>
      <c r="P29" s="8">
        <f>J29*K29*12</f>
        <v>19710.72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1368.8</v>
      </c>
      <c r="L30" s="8">
        <f t="shared" si="0"/>
        <v>3285.12</v>
      </c>
      <c r="M30" s="8">
        <f t="shared" si="1"/>
        <v>3285.12</v>
      </c>
      <c r="N30" s="8">
        <f t="shared" si="2"/>
        <v>3285.12</v>
      </c>
      <c r="O30" s="8">
        <f t="shared" si="3"/>
        <v>3285.12</v>
      </c>
      <c r="P30" s="8">
        <f>K30*J30*12</f>
        <v>13140.48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3495.25</v>
      </c>
      <c r="M32" s="8">
        <f>P32/4</f>
        <v>3495.25</v>
      </c>
      <c r="N32" s="8">
        <f>P32/4</f>
        <v>3495.25</v>
      </c>
      <c r="O32" s="6">
        <f>P32/4</f>
        <v>3495.25</v>
      </c>
      <c r="P32" s="8">
        <v>13981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528.4</v>
      </c>
      <c r="L33" s="6"/>
      <c r="M33" s="8">
        <f>P33/2</f>
        <v>264.2</v>
      </c>
      <c r="N33" s="6"/>
      <c r="O33" s="8">
        <f>P33/2</f>
        <v>264.2</v>
      </c>
      <c r="P33" s="8">
        <f>K33*J33</f>
        <v>528.4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1368.8</v>
      </c>
      <c r="L35" s="8">
        <f>P35/4</f>
        <v>1971.0720000000001</v>
      </c>
      <c r="M35" s="8">
        <f>P35/4</f>
        <v>1971.0720000000001</v>
      </c>
      <c r="N35" s="8">
        <f>P35/4</f>
        <v>1971.0720000000001</v>
      </c>
      <c r="O35" s="8">
        <f>P35/4</f>
        <v>1971.0720000000001</v>
      </c>
      <c r="P35" s="8">
        <f>K35*J35*12</f>
        <v>7884.2880000000005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1368.8</v>
      </c>
      <c r="L37" s="8">
        <f>P37/4</f>
        <v>7802.16</v>
      </c>
      <c r="M37" s="8">
        <f>P37/4</f>
        <v>7802.16</v>
      </c>
      <c r="N37" s="8">
        <f>P37/4</f>
        <v>7802.16</v>
      </c>
      <c r="O37" s="8">
        <f>P37/4</f>
        <v>7802.16</v>
      </c>
      <c r="P37" s="8">
        <f>K37*J37*12</f>
        <v>31208.64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1971</v>
      </c>
      <c r="M39" s="8">
        <f>P39/4</f>
        <v>1971</v>
      </c>
      <c r="N39" s="8">
        <f>P39/4</f>
        <v>1971</v>
      </c>
      <c r="O39" s="8">
        <f>P39/4</f>
        <v>1971</v>
      </c>
      <c r="P39" s="8">
        <v>7884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33</v>
      </c>
      <c r="L40" s="8">
        <f>J40*K40*3</f>
        <v>390.06000000000006</v>
      </c>
      <c r="M40" s="8">
        <f>L40</f>
        <v>390.06000000000006</v>
      </c>
      <c r="N40" s="8">
        <f>M40</f>
        <v>390.06000000000006</v>
      </c>
      <c r="O40" s="8">
        <f>N40</f>
        <v>390.06000000000006</v>
      </c>
      <c r="P40" s="8">
        <f>K40*J40*12</f>
        <v>1560.2400000000002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36076.422</v>
      </c>
      <c r="M41" s="14">
        <f>SUM(M24:M40)</f>
        <v>36340.622</v>
      </c>
      <c r="N41" s="14">
        <f>SUM(N24:N40)</f>
        <v>36076.422</v>
      </c>
      <c r="O41" s="14">
        <f>SUM(O24:O40)</f>
        <v>36340.622</v>
      </c>
      <c r="P41" s="14">
        <f>SUM(P24:P40)</f>
        <v>144834.088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19750.14144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164584.22944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8:H18"/>
    <mergeCell ref="A19:H19"/>
    <mergeCell ref="A1:B1"/>
    <mergeCell ref="A3:B3"/>
    <mergeCell ref="A12:H12"/>
    <mergeCell ref="A13:H13"/>
    <mergeCell ref="A16:H16"/>
    <mergeCell ref="A17:H17"/>
    <mergeCell ref="A14:H14"/>
    <mergeCell ref="A15:H15"/>
    <mergeCell ref="L3:P3"/>
    <mergeCell ref="L4:P4"/>
    <mergeCell ref="A11:H11"/>
    <mergeCell ref="A6:P6"/>
    <mergeCell ref="A7:P7"/>
    <mergeCell ref="A9:H9"/>
    <mergeCell ref="A10:H10"/>
    <mergeCell ref="A20:I20"/>
    <mergeCell ref="L21:O21"/>
    <mergeCell ref="P21:P22"/>
    <mergeCell ref="A23:H23"/>
    <mergeCell ref="K21:K22"/>
    <mergeCell ref="A24:H24"/>
    <mergeCell ref="A21:H22"/>
    <mergeCell ref="I21:I22"/>
    <mergeCell ref="J21:J22"/>
    <mergeCell ref="A25:H25"/>
    <mergeCell ref="A26:H26"/>
    <mergeCell ref="A27:H27"/>
    <mergeCell ref="A28:H28"/>
    <mergeCell ref="A29:H29"/>
    <mergeCell ref="A30:H30"/>
    <mergeCell ref="A31:G31"/>
    <mergeCell ref="A32:H32"/>
    <mergeCell ref="A33:H33"/>
    <mergeCell ref="A38:H38"/>
    <mergeCell ref="A39:H39"/>
    <mergeCell ref="A40:H40"/>
    <mergeCell ref="A34:H34"/>
    <mergeCell ref="A35:H35"/>
    <mergeCell ref="A36:H36"/>
    <mergeCell ref="A37:H37"/>
    <mergeCell ref="A41:H41"/>
    <mergeCell ref="A42:H42"/>
    <mergeCell ref="A43:H43"/>
    <mergeCell ref="A44:H44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2">
      <selection activeCell="P39" sqref="P39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90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72015.95999999999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5228.5560000000005</v>
      </c>
    </row>
    <row r="13" spans="1:9" ht="18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K25*I19*12</f>
        <v>21604.788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11861.916479999998</v>
      </c>
    </row>
    <row r="15" spans="1:9" ht="12" customHeight="1">
      <c r="A15" s="139" t="s">
        <v>46</v>
      </c>
      <c r="B15" s="139"/>
      <c r="C15" s="139"/>
      <c r="D15" s="139"/>
      <c r="E15" s="139"/>
      <c r="F15" s="139"/>
      <c r="G15" s="139"/>
      <c r="H15" s="139"/>
      <c r="I15" s="8">
        <f>I14</f>
        <v>11861.916479999998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86987.38751999999</v>
      </c>
    </row>
    <row r="17" spans="1:9" ht="21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9.5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700</v>
      </c>
      <c r="M24" s="6">
        <f aca="true" t="shared" si="1" ref="M24:M30">P24/4</f>
        <v>700</v>
      </c>
      <c r="N24" s="6">
        <f aca="true" t="shared" si="2" ref="N24:N30">P24/4</f>
        <v>700</v>
      </c>
      <c r="O24" s="6">
        <f aca="true" t="shared" si="3" ref="O24:O30">P24/4</f>
        <v>700</v>
      </c>
      <c r="P24" s="8">
        <v>2800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822.1</v>
      </c>
      <c r="L25" s="8">
        <f t="shared" si="0"/>
        <v>1479.78</v>
      </c>
      <c r="M25" s="8">
        <f t="shared" si="1"/>
        <v>1479.78</v>
      </c>
      <c r="N25" s="8">
        <f t="shared" si="2"/>
        <v>1479.78</v>
      </c>
      <c r="O25" s="8">
        <f t="shared" si="3"/>
        <v>1479.78</v>
      </c>
      <c r="P25" s="8">
        <f>J25*K25*12</f>
        <v>5919.12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822.1</v>
      </c>
      <c r="L26" s="8">
        <f t="shared" si="0"/>
        <v>2786.919</v>
      </c>
      <c r="M26" s="8">
        <f t="shared" si="1"/>
        <v>2786.919</v>
      </c>
      <c r="N26" s="8">
        <f t="shared" si="2"/>
        <v>2786.919</v>
      </c>
      <c r="O26" s="8">
        <f t="shared" si="3"/>
        <v>2786.919</v>
      </c>
      <c r="P26" s="8">
        <f>K26*J26*12</f>
        <v>11147.676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822.1</v>
      </c>
      <c r="L27" s="8">
        <f t="shared" si="0"/>
        <v>1159.161</v>
      </c>
      <c r="M27" s="8">
        <f t="shared" si="1"/>
        <v>1159.161</v>
      </c>
      <c r="N27" s="8">
        <f t="shared" si="2"/>
        <v>1159.161</v>
      </c>
      <c r="O27" s="8">
        <f t="shared" si="3"/>
        <v>1159.161</v>
      </c>
      <c r="P27" s="8">
        <f>K27*J27*12</f>
        <v>4636.644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1000</v>
      </c>
      <c r="M28" s="6">
        <f t="shared" si="1"/>
        <v>1000</v>
      </c>
      <c r="N28" s="6">
        <f t="shared" si="2"/>
        <v>1000</v>
      </c>
      <c r="O28" s="6">
        <f t="shared" si="3"/>
        <v>1000</v>
      </c>
      <c r="P28" s="6">
        <v>4000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822.1</v>
      </c>
      <c r="L29" s="8">
        <f t="shared" si="0"/>
        <v>2959.56</v>
      </c>
      <c r="M29" s="8">
        <f t="shared" si="1"/>
        <v>2959.56</v>
      </c>
      <c r="N29" s="8">
        <f t="shared" si="2"/>
        <v>2959.56</v>
      </c>
      <c r="O29" s="8">
        <f t="shared" si="3"/>
        <v>2959.56</v>
      </c>
      <c r="P29" s="8">
        <f>J29*K29*12</f>
        <v>11838.24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822.1</v>
      </c>
      <c r="L30" s="8">
        <f t="shared" si="0"/>
        <v>1973.0400000000002</v>
      </c>
      <c r="M30" s="8">
        <f t="shared" si="1"/>
        <v>1973.0400000000002</v>
      </c>
      <c r="N30" s="8">
        <f t="shared" si="2"/>
        <v>1973.0400000000002</v>
      </c>
      <c r="O30" s="8">
        <f t="shared" si="3"/>
        <v>1973.0400000000002</v>
      </c>
      <c r="P30" s="8">
        <f>K30*J30*12</f>
        <v>7892.160000000001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2367.75</v>
      </c>
      <c r="M32" s="8">
        <f>P32/4</f>
        <v>2367.75</v>
      </c>
      <c r="N32" s="8">
        <f>P32/4</f>
        <v>2367.75</v>
      </c>
      <c r="O32" s="8">
        <f>P32/4</f>
        <v>2367.75</v>
      </c>
      <c r="P32" s="8">
        <v>9471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216.5</v>
      </c>
      <c r="L33" s="6"/>
      <c r="M33" s="8">
        <f>P33/2</f>
        <v>108.25</v>
      </c>
      <c r="N33" s="6"/>
      <c r="O33" s="8">
        <f>P33/2</f>
        <v>108.25</v>
      </c>
      <c r="P33" s="8">
        <f>K33*J33</f>
        <v>216.5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822.1</v>
      </c>
      <c r="L35" s="8">
        <f>P35/4</f>
        <v>1183.824</v>
      </c>
      <c r="M35" s="8">
        <f>P35/4</f>
        <v>1183.824</v>
      </c>
      <c r="N35" s="8">
        <f>P35/4</f>
        <v>1183.824</v>
      </c>
      <c r="O35" s="8">
        <f>P35/4</f>
        <v>1183.824</v>
      </c>
      <c r="P35" s="8">
        <f>K35*J35*12</f>
        <v>4735.296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822.1</v>
      </c>
      <c r="L37" s="6">
        <f>P37/4</f>
        <v>4685.97</v>
      </c>
      <c r="M37" s="8">
        <f>P37/4</f>
        <v>4685.97</v>
      </c>
      <c r="N37" s="8">
        <f>P37/4</f>
        <v>4685.97</v>
      </c>
      <c r="O37" s="8">
        <f>P37/4</f>
        <v>4685.97</v>
      </c>
      <c r="P37" s="8">
        <f>K37*J37*12</f>
        <v>18743.88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1183.75</v>
      </c>
      <c r="M39" s="8">
        <f>P39/4</f>
        <v>1183.75</v>
      </c>
      <c r="N39" s="8">
        <f>P39/4</f>
        <v>1183.75</v>
      </c>
      <c r="O39" s="8">
        <f>P39/4</f>
        <v>1183.75</v>
      </c>
      <c r="P39" s="8">
        <v>4735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18</v>
      </c>
      <c r="L40" s="8">
        <f>J40*K40*3</f>
        <v>212.76</v>
      </c>
      <c r="M40" s="8">
        <f>L40</f>
        <v>212.76</v>
      </c>
      <c r="N40" s="8">
        <f>M40</f>
        <v>212.76</v>
      </c>
      <c r="O40" s="8">
        <f>N40</f>
        <v>212.76</v>
      </c>
      <c r="P40" s="8">
        <f>K40*J40*12</f>
        <v>851.04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21692.514</v>
      </c>
      <c r="M41" s="14">
        <f>SUM(M24:M40)</f>
        <v>21800.764</v>
      </c>
      <c r="N41" s="14">
        <f>SUM(N24:N40)</f>
        <v>21692.514</v>
      </c>
      <c r="O41" s="14">
        <f>SUM(O24:O40)</f>
        <v>21800.764</v>
      </c>
      <c r="P41" s="14">
        <f>SUM(P24:P40)</f>
        <v>86986.556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11861.916479999998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98848.47248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8:H18"/>
    <mergeCell ref="A19:H19"/>
    <mergeCell ref="A1:B1"/>
    <mergeCell ref="A3:B3"/>
    <mergeCell ref="A12:H12"/>
    <mergeCell ref="A13:H13"/>
    <mergeCell ref="A14:H14"/>
    <mergeCell ref="A17:H17"/>
    <mergeCell ref="A15:H15"/>
    <mergeCell ref="A16:H16"/>
    <mergeCell ref="L3:P3"/>
    <mergeCell ref="L4:P4"/>
    <mergeCell ref="A11:H11"/>
    <mergeCell ref="A6:P6"/>
    <mergeCell ref="A7:P7"/>
    <mergeCell ref="A9:H9"/>
    <mergeCell ref="A10:H10"/>
    <mergeCell ref="A20:I20"/>
    <mergeCell ref="L21:O21"/>
    <mergeCell ref="P21:P22"/>
    <mergeCell ref="A23:H23"/>
    <mergeCell ref="K21:K22"/>
    <mergeCell ref="A24:H24"/>
    <mergeCell ref="A21:H22"/>
    <mergeCell ref="I21:I22"/>
    <mergeCell ref="J21:J22"/>
    <mergeCell ref="A25:H25"/>
    <mergeCell ref="A26:H26"/>
    <mergeCell ref="A27:H27"/>
    <mergeCell ref="A28:H28"/>
    <mergeCell ref="A29:H29"/>
    <mergeCell ref="A30:H30"/>
    <mergeCell ref="A31:G31"/>
    <mergeCell ref="A32:H32"/>
    <mergeCell ref="A33:H33"/>
    <mergeCell ref="A38:H38"/>
    <mergeCell ref="A39:H39"/>
    <mergeCell ref="A40:H40"/>
    <mergeCell ref="A34:H34"/>
    <mergeCell ref="A35:H35"/>
    <mergeCell ref="A36:H36"/>
    <mergeCell ref="A37:H37"/>
    <mergeCell ref="A41:H41"/>
    <mergeCell ref="A42:H42"/>
    <mergeCell ref="A43:H43"/>
    <mergeCell ref="A44:H44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31">
      <selection activeCell="P39" sqref="P39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91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79023.95999999999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5737.356000000001</v>
      </c>
    </row>
    <row r="13" spans="1:9" ht="1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K30*I19*12</f>
        <v>23707.188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13016.220479999998</v>
      </c>
    </row>
    <row r="15" spans="1:9" ht="12" customHeight="1">
      <c r="A15" s="139" t="s">
        <v>46</v>
      </c>
      <c r="B15" s="139"/>
      <c r="C15" s="139"/>
      <c r="D15" s="139"/>
      <c r="E15" s="139"/>
      <c r="F15" s="139"/>
      <c r="G15" s="139"/>
      <c r="H15" s="139"/>
      <c r="I15" s="8">
        <f>I14</f>
        <v>13016.220479999998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95452.28351999998</v>
      </c>
    </row>
    <row r="17" spans="1:9" ht="21" customHeight="1">
      <c r="A17" s="85" t="s">
        <v>5</v>
      </c>
      <c r="B17" s="86"/>
      <c r="C17" s="86"/>
      <c r="D17" s="86"/>
      <c r="E17" s="86"/>
      <c r="F17" s="86"/>
      <c r="G17" s="86"/>
      <c r="H17" s="87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21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1000</v>
      </c>
      <c r="M24" s="6">
        <f aca="true" t="shared" si="1" ref="M24:M30">P24/4</f>
        <v>1000</v>
      </c>
      <c r="N24" s="6">
        <f aca="true" t="shared" si="2" ref="N24:N30">P24/4</f>
        <v>1000</v>
      </c>
      <c r="O24" s="6">
        <f aca="true" t="shared" si="3" ref="O24:O30">P24/4</f>
        <v>1000</v>
      </c>
      <c r="P24" s="8">
        <v>4000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902.1</v>
      </c>
      <c r="L25" s="8">
        <f t="shared" si="0"/>
        <v>1623.78</v>
      </c>
      <c r="M25" s="8">
        <f t="shared" si="1"/>
        <v>1623.78</v>
      </c>
      <c r="N25" s="8">
        <f t="shared" si="2"/>
        <v>1623.78</v>
      </c>
      <c r="O25" s="8">
        <f t="shared" si="3"/>
        <v>1623.78</v>
      </c>
      <c r="P25" s="8">
        <f>J25*K25*12</f>
        <v>6495.12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902.1</v>
      </c>
      <c r="L26" s="8">
        <f t="shared" si="0"/>
        <v>3058.1189999999997</v>
      </c>
      <c r="M26" s="8">
        <f t="shared" si="1"/>
        <v>3058.1189999999997</v>
      </c>
      <c r="N26" s="8">
        <f t="shared" si="2"/>
        <v>3058.1189999999997</v>
      </c>
      <c r="O26" s="8">
        <f t="shared" si="3"/>
        <v>3058.1189999999997</v>
      </c>
      <c r="P26" s="8">
        <f>K26*J26*12</f>
        <v>12232.475999999999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902.1</v>
      </c>
      <c r="L27" s="8">
        <f t="shared" si="0"/>
        <v>1271.9609999999998</v>
      </c>
      <c r="M27" s="8">
        <f t="shared" si="1"/>
        <v>1271.9609999999998</v>
      </c>
      <c r="N27" s="8">
        <f t="shared" si="2"/>
        <v>1271.9609999999998</v>
      </c>
      <c r="O27" s="8">
        <f t="shared" si="3"/>
        <v>1271.9609999999998</v>
      </c>
      <c r="P27" s="8">
        <f>K27*J27*12</f>
        <v>5087.843999999999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1500</v>
      </c>
      <c r="M28" s="6">
        <f t="shared" si="1"/>
        <v>1500</v>
      </c>
      <c r="N28" s="6">
        <f t="shared" si="2"/>
        <v>1500</v>
      </c>
      <c r="O28" s="6">
        <f t="shared" si="3"/>
        <v>1500</v>
      </c>
      <c r="P28" s="6">
        <v>6000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902.1</v>
      </c>
      <c r="L29" s="8">
        <f t="shared" si="0"/>
        <v>3247.56</v>
      </c>
      <c r="M29" s="8">
        <f t="shared" si="1"/>
        <v>3247.56</v>
      </c>
      <c r="N29" s="8">
        <f t="shared" si="2"/>
        <v>3247.56</v>
      </c>
      <c r="O29" s="8">
        <f t="shared" si="3"/>
        <v>3247.56</v>
      </c>
      <c r="P29" s="8">
        <f>J29*K29*12</f>
        <v>12990.24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902.1</v>
      </c>
      <c r="L30" s="8">
        <f t="shared" si="0"/>
        <v>2165.04</v>
      </c>
      <c r="M30" s="8">
        <f t="shared" si="1"/>
        <v>2165.04</v>
      </c>
      <c r="N30" s="8">
        <f t="shared" si="2"/>
        <v>2165.04</v>
      </c>
      <c r="O30" s="8">
        <f t="shared" si="3"/>
        <v>2165.04</v>
      </c>
      <c r="P30" s="8">
        <f>K30*J30*12</f>
        <v>8660.16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1968</v>
      </c>
      <c r="M32" s="8">
        <f>P32/4</f>
        <v>1968</v>
      </c>
      <c r="N32" s="8">
        <f>P32/4</f>
        <v>1968</v>
      </c>
      <c r="O32" s="8">
        <f>P32/4</f>
        <v>1968</v>
      </c>
      <c r="P32" s="8">
        <v>7872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208.7</v>
      </c>
      <c r="L33" s="6"/>
      <c r="M33" s="8">
        <f>P33/2</f>
        <v>104.35</v>
      </c>
      <c r="N33" s="6"/>
      <c r="O33" s="8">
        <f>P33/2</f>
        <v>104.35</v>
      </c>
      <c r="P33" s="8">
        <f>K33*J33</f>
        <v>208.7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902.1</v>
      </c>
      <c r="L35" s="6">
        <f>P35/4</f>
        <v>1299.024</v>
      </c>
      <c r="M35" s="8">
        <f>P35/4</f>
        <v>1299.024</v>
      </c>
      <c r="N35" s="8">
        <f>P35/4</f>
        <v>1299.024</v>
      </c>
      <c r="O35" s="8">
        <f>P35/4</f>
        <v>1299.024</v>
      </c>
      <c r="P35" s="8">
        <f>K35*J35*12</f>
        <v>5196.096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902.1</v>
      </c>
      <c r="L37" s="6">
        <f>P37/4</f>
        <v>5141.97</v>
      </c>
      <c r="M37" s="8">
        <f>P37/4</f>
        <v>5141.97</v>
      </c>
      <c r="N37" s="8">
        <f>P37/4</f>
        <v>5141.97</v>
      </c>
      <c r="O37" s="8">
        <f>P37/4</f>
        <v>5141.97</v>
      </c>
      <c r="P37" s="8">
        <f>K37*J37*12</f>
        <v>20567.88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1299</v>
      </c>
      <c r="M39" s="8">
        <f>P39/4</f>
        <v>1299</v>
      </c>
      <c r="N39" s="8">
        <f>P39/4</f>
        <v>1299</v>
      </c>
      <c r="O39" s="8">
        <f>P39/4</f>
        <v>1299</v>
      </c>
      <c r="P39" s="8">
        <v>5196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20</v>
      </c>
      <c r="L40" s="8">
        <f>J40*K40*3</f>
        <v>236.39999999999998</v>
      </c>
      <c r="M40" s="8">
        <f>L40</f>
        <v>236.39999999999998</v>
      </c>
      <c r="N40" s="8">
        <f>M40</f>
        <v>236.39999999999998</v>
      </c>
      <c r="O40" s="8">
        <f>N40</f>
        <v>236.39999999999998</v>
      </c>
      <c r="P40" s="8">
        <f>K40*J40*12</f>
        <v>945.5999999999999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23810.854000000003</v>
      </c>
      <c r="M41" s="14">
        <f>SUM(M24:M40)</f>
        <v>23915.204</v>
      </c>
      <c r="N41" s="14">
        <f>SUM(N24:N40)</f>
        <v>23810.854000000003</v>
      </c>
      <c r="O41" s="14">
        <f>SUM(O24:O40)</f>
        <v>23915.204</v>
      </c>
      <c r="P41" s="14">
        <f>SUM(P24:P40)</f>
        <v>95452.11600000001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13016.220479999998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108468.33648000001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8:H18"/>
    <mergeCell ref="A19:H19"/>
    <mergeCell ref="A1:B1"/>
    <mergeCell ref="A3:B3"/>
    <mergeCell ref="A12:H12"/>
    <mergeCell ref="A13:H13"/>
    <mergeCell ref="A14:H14"/>
    <mergeCell ref="A17:H17"/>
    <mergeCell ref="A15:H15"/>
    <mergeCell ref="A16:H16"/>
    <mergeCell ref="L3:P3"/>
    <mergeCell ref="L4:P4"/>
    <mergeCell ref="A11:H11"/>
    <mergeCell ref="A6:P6"/>
    <mergeCell ref="A7:P7"/>
    <mergeCell ref="A9:H9"/>
    <mergeCell ref="A10:H10"/>
    <mergeCell ref="A20:I20"/>
    <mergeCell ref="L21:O21"/>
    <mergeCell ref="P21:P22"/>
    <mergeCell ref="A23:H23"/>
    <mergeCell ref="K21:K22"/>
    <mergeCell ref="A24:H24"/>
    <mergeCell ref="A21:H22"/>
    <mergeCell ref="I21:I22"/>
    <mergeCell ref="J21:J22"/>
    <mergeCell ref="A25:H25"/>
    <mergeCell ref="A26:H26"/>
    <mergeCell ref="A27:H27"/>
    <mergeCell ref="A28:H28"/>
    <mergeCell ref="A29:H29"/>
    <mergeCell ref="A30:H30"/>
    <mergeCell ref="A31:G31"/>
    <mergeCell ref="A32:H32"/>
    <mergeCell ref="A33:H33"/>
    <mergeCell ref="A38:H38"/>
    <mergeCell ref="A39:H39"/>
    <mergeCell ref="A40:H40"/>
    <mergeCell ref="A34:H34"/>
    <mergeCell ref="A35:H35"/>
    <mergeCell ref="A36:H36"/>
    <mergeCell ref="A37:H37"/>
    <mergeCell ref="A41:H41"/>
    <mergeCell ref="A42:H42"/>
    <mergeCell ref="A43:H43"/>
    <mergeCell ref="A44:H4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31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92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76141.92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5528.112000000001</v>
      </c>
    </row>
    <row r="13" spans="1:9" ht="18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K27*I19*12</f>
        <v>22842.576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12541.51296</v>
      </c>
    </row>
    <row r="15" spans="1:9" ht="12" customHeight="1">
      <c r="A15" s="139" t="s">
        <v>46</v>
      </c>
      <c r="B15" s="139"/>
      <c r="C15" s="139"/>
      <c r="D15" s="139"/>
      <c r="E15" s="139"/>
      <c r="F15" s="139"/>
      <c r="G15" s="139"/>
      <c r="H15" s="139"/>
      <c r="I15" s="8">
        <f>I14</f>
        <v>12541.51296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91971.09504000001</v>
      </c>
    </row>
    <row r="17" spans="1:9" ht="21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20.25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700</v>
      </c>
      <c r="M24" s="6">
        <f aca="true" t="shared" si="1" ref="M24:M30">P24/4</f>
        <v>700</v>
      </c>
      <c r="N24" s="6">
        <f aca="true" t="shared" si="2" ref="N24:N30">P24/4</f>
        <v>700</v>
      </c>
      <c r="O24" s="6">
        <f aca="true" t="shared" si="3" ref="O24:O30">P24/4</f>
        <v>700</v>
      </c>
      <c r="P24" s="8">
        <v>2800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869.2</v>
      </c>
      <c r="L25" s="8">
        <f t="shared" si="0"/>
        <v>1564.56</v>
      </c>
      <c r="M25" s="8">
        <f t="shared" si="1"/>
        <v>1564.56</v>
      </c>
      <c r="N25" s="8">
        <f t="shared" si="2"/>
        <v>1564.56</v>
      </c>
      <c r="O25" s="8">
        <f t="shared" si="3"/>
        <v>1564.56</v>
      </c>
      <c r="P25" s="8">
        <f>J25*K25*12</f>
        <v>6258.24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869.2</v>
      </c>
      <c r="L26" s="8">
        <f t="shared" si="0"/>
        <v>2946.5879999999997</v>
      </c>
      <c r="M26" s="8">
        <f t="shared" si="1"/>
        <v>2946.5879999999997</v>
      </c>
      <c r="N26" s="8">
        <f t="shared" si="2"/>
        <v>2946.5879999999997</v>
      </c>
      <c r="O26" s="8">
        <f t="shared" si="3"/>
        <v>2946.5879999999997</v>
      </c>
      <c r="P26" s="8">
        <f>K26*J26*12</f>
        <v>11786.351999999999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869.2</v>
      </c>
      <c r="L27" s="8">
        <f t="shared" si="0"/>
        <v>1225.5720000000001</v>
      </c>
      <c r="M27" s="8">
        <f t="shared" si="1"/>
        <v>1225.5720000000001</v>
      </c>
      <c r="N27" s="8">
        <f t="shared" si="2"/>
        <v>1225.5720000000001</v>
      </c>
      <c r="O27" s="8">
        <f t="shared" si="3"/>
        <v>1225.5720000000001</v>
      </c>
      <c r="P27" s="8">
        <f>K27*J27*12</f>
        <v>4902.2880000000005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1000</v>
      </c>
      <c r="M28" s="6">
        <f t="shared" si="1"/>
        <v>1000</v>
      </c>
      <c r="N28" s="6">
        <f t="shared" si="2"/>
        <v>1000</v>
      </c>
      <c r="O28" s="6">
        <f t="shared" si="3"/>
        <v>1000</v>
      </c>
      <c r="P28" s="6">
        <v>4000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869.2</v>
      </c>
      <c r="L29" s="8">
        <f t="shared" si="0"/>
        <v>3129.12</v>
      </c>
      <c r="M29" s="8">
        <f t="shared" si="1"/>
        <v>3129.12</v>
      </c>
      <c r="N29" s="8">
        <f t="shared" si="2"/>
        <v>3129.12</v>
      </c>
      <c r="O29" s="8">
        <f t="shared" si="3"/>
        <v>3129.12</v>
      </c>
      <c r="P29" s="8">
        <f>J29*K29*12</f>
        <v>12516.48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869.2</v>
      </c>
      <c r="L30" s="8">
        <f t="shared" si="0"/>
        <v>2086.0800000000004</v>
      </c>
      <c r="M30" s="8">
        <f t="shared" si="1"/>
        <v>2086.0800000000004</v>
      </c>
      <c r="N30" s="8">
        <f t="shared" si="2"/>
        <v>2086.0800000000004</v>
      </c>
      <c r="O30" s="8">
        <f t="shared" si="3"/>
        <v>2086.0800000000004</v>
      </c>
      <c r="P30" s="8">
        <f>K30*J30*12</f>
        <v>8344.320000000002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6"/>
      <c r="M31" s="6"/>
      <c r="N31" s="6"/>
      <c r="O31" s="6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2566.25</v>
      </c>
      <c r="M32" s="8">
        <f>P32/4</f>
        <v>2566.25</v>
      </c>
      <c r="N32" s="8">
        <f>P32/4</f>
        <v>2566.25</v>
      </c>
      <c r="O32" s="8">
        <f>P32/4</f>
        <v>2566.25</v>
      </c>
      <c r="P32" s="8">
        <v>10265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321.7</v>
      </c>
      <c r="L33" s="6"/>
      <c r="M33" s="8">
        <f>P33/2</f>
        <v>160.85</v>
      </c>
      <c r="N33" s="6"/>
      <c r="O33" s="8">
        <f>P33/2</f>
        <v>160.85</v>
      </c>
      <c r="P33" s="8">
        <f>K33*J33</f>
        <v>321.7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869.2</v>
      </c>
      <c r="L35" s="8">
        <f>P35/4</f>
        <v>1251.6480000000001</v>
      </c>
      <c r="M35" s="8">
        <f>P35/4</f>
        <v>1251.6480000000001</v>
      </c>
      <c r="N35" s="8">
        <f>P35/4</f>
        <v>1251.6480000000001</v>
      </c>
      <c r="O35" s="8">
        <f>P35/4</f>
        <v>1251.6480000000001</v>
      </c>
      <c r="P35" s="8">
        <f>K35*J35*12</f>
        <v>5006.592000000001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869.2</v>
      </c>
      <c r="L37" s="8">
        <f>P37/4</f>
        <v>4954.4400000000005</v>
      </c>
      <c r="M37" s="8">
        <f>P37/4</f>
        <v>4954.4400000000005</v>
      </c>
      <c r="N37" s="8">
        <f>P37/4</f>
        <v>4954.4400000000005</v>
      </c>
      <c r="O37" s="8">
        <f>P37/4</f>
        <v>4954.4400000000005</v>
      </c>
      <c r="P37" s="8">
        <f>K37*J37*12</f>
        <v>19817.760000000002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6">
        <f>P39/4</f>
        <v>1251.75</v>
      </c>
      <c r="M39" s="8">
        <f>P39/4</f>
        <v>1251.75</v>
      </c>
      <c r="N39" s="8">
        <f>P39/4</f>
        <v>1251.75</v>
      </c>
      <c r="O39" s="8">
        <f>P39/4</f>
        <v>1251.75</v>
      </c>
      <c r="P39" s="8">
        <v>5007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20</v>
      </c>
      <c r="L40" s="8">
        <f>J40*K40*3</f>
        <v>236.39999999999998</v>
      </c>
      <c r="M40" s="8">
        <f>L40</f>
        <v>236.39999999999998</v>
      </c>
      <c r="N40" s="8">
        <f>M40</f>
        <v>236.39999999999998</v>
      </c>
      <c r="O40" s="8">
        <f>N40</f>
        <v>236.39999999999998</v>
      </c>
      <c r="P40" s="8">
        <f>K40*J40*12</f>
        <v>945.5999999999999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22912.408000000003</v>
      </c>
      <c r="M41" s="14">
        <f>SUM(M24:M40)</f>
        <v>23073.258</v>
      </c>
      <c r="N41" s="14">
        <f>SUM(N24:N40)</f>
        <v>22912.408000000003</v>
      </c>
      <c r="O41" s="14">
        <f>SUM(O24:O40)</f>
        <v>23073.258</v>
      </c>
      <c r="P41" s="14">
        <f>SUM(P24:P40)</f>
        <v>91971.332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12541.51296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104512.84495999999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:B1"/>
    <mergeCell ref="A3:B3"/>
    <mergeCell ref="L3:P3"/>
    <mergeCell ref="L4:P4"/>
    <mergeCell ref="A20:I20"/>
    <mergeCell ref="A11:H11"/>
    <mergeCell ref="A6:P6"/>
    <mergeCell ref="A7:P7"/>
    <mergeCell ref="A9:H9"/>
    <mergeCell ref="A10:H10"/>
    <mergeCell ref="A12:H12"/>
    <mergeCell ref="A13:H13"/>
    <mergeCell ref="A14:H14"/>
    <mergeCell ref="A15:H15"/>
    <mergeCell ref="L21:O21"/>
    <mergeCell ref="P21:P22"/>
    <mergeCell ref="A23:H23"/>
    <mergeCell ref="A24:H24"/>
    <mergeCell ref="A21:H22"/>
    <mergeCell ref="I21:I22"/>
    <mergeCell ref="J21:J22"/>
    <mergeCell ref="K21:K22"/>
    <mergeCell ref="A25:H25"/>
    <mergeCell ref="A26:H26"/>
    <mergeCell ref="A27:H27"/>
    <mergeCell ref="A28:H28"/>
    <mergeCell ref="A29:H29"/>
    <mergeCell ref="A30:H30"/>
    <mergeCell ref="A31:G31"/>
    <mergeCell ref="A32:H32"/>
    <mergeCell ref="A33:H33"/>
    <mergeCell ref="A38:H38"/>
    <mergeCell ref="A39:H39"/>
    <mergeCell ref="A40:H40"/>
    <mergeCell ref="A34:H34"/>
    <mergeCell ref="A35:H35"/>
    <mergeCell ref="A36:H36"/>
    <mergeCell ref="A37:H37"/>
    <mergeCell ref="A41:H41"/>
    <mergeCell ref="A42:H42"/>
    <mergeCell ref="A43:H43"/>
    <mergeCell ref="A44:H44"/>
    <mergeCell ref="A16:H16"/>
    <mergeCell ref="A18:H18"/>
    <mergeCell ref="A19:H19"/>
    <mergeCell ref="A17:H17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T39" sqref="T39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93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323068.8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23455.68</v>
      </c>
    </row>
    <row r="13" spans="1:9" ht="13.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K29*I19*12</f>
        <v>96920.64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53213.414399999994</v>
      </c>
    </row>
    <row r="15" spans="1:9" ht="12" customHeight="1">
      <c r="A15" s="139" t="s">
        <v>46</v>
      </c>
      <c r="B15" s="139"/>
      <c r="C15" s="139"/>
      <c r="D15" s="139"/>
      <c r="E15" s="139"/>
      <c r="F15" s="139"/>
      <c r="G15" s="139"/>
      <c r="H15" s="139"/>
      <c r="I15" s="8">
        <f>I14</f>
        <v>53213.414399999994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390231.7056</v>
      </c>
    </row>
    <row r="17" spans="1:9" ht="21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8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1500</v>
      </c>
      <c r="M24" s="6">
        <f aca="true" t="shared" si="1" ref="M24:M30">P24/4</f>
        <v>1500</v>
      </c>
      <c r="N24" s="6">
        <f aca="true" t="shared" si="2" ref="N24:N30">P24/4</f>
        <v>1500</v>
      </c>
      <c r="O24" s="6">
        <f aca="true" t="shared" si="3" ref="O24:O30">P24/4</f>
        <v>1500</v>
      </c>
      <c r="P24" s="8">
        <v>6000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3688</v>
      </c>
      <c r="L25" s="8">
        <f t="shared" si="0"/>
        <v>6638.4</v>
      </c>
      <c r="M25" s="8">
        <f t="shared" si="1"/>
        <v>6638.4</v>
      </c>
      <c r="N25" s="8">
        <f t="shared" si="2"/>
        <v>6638.4</v>
      </c>
      <c r="O25" s="8">
        <f t="shared" si="3"/>
        <v>6638.4</v>
      </c>
      <c r="P25" s="8">
        <f>J25*K25*12</f>
        <v>26553.6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3688</v>
      </c>
      <c r="L26" s="8">
        <f t="shared" si="0"/>
        <v>12502.32</v>
      </c>
      <c r="M26" s="8">
        <f t="shared" si="1"/>
        <v>12502.32</v>
      </c>
      <c r="N26" s="8">
        <f t="shared" si="2"/>
        <v>12502.32</v>
      </c>
      <c r="O26" s="8">
        <f t="shared" si="3"/>
        <v>12502.32</v>
      </c>
      <c r="P26" s="8">
        <f>K26*J26*12</f>
        <v>50009.28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3688</v>
      </c>
      <c r="L27" s="8">
        <f t="shared" si="0"/>
        <v>5200.08</v>
      </c>
      <c r="M27" s="8">
        <f t="shared" si="1"/>
        <v>5200.08</v>
      </c>
      <c r="N27" s="8">
        <f t="shared" si="2"/>
        <v>5200.08</v>
      </c>
      <c r="O27" s="8">
        <f t="shared" si="3"/>
        <v>5200.08</v>
      </c>
      <c r="P27" s="8">
        <f>K27*J27*12</f>
        <v>20800.32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4500</v>
      </c>
      <c r="M28" s="6">
        <f t="shared" si="1"/>
        <v>4500</v>
      </c>
      <c r="N28" s="6">
        <f t="shared" si="2"/>
        <v>4500</v>
      </c>
      <c r="O28" s="6">
        <f t="shared" si="3"/>
        <v>4500</v>
      </c>
      <c r="P28" s="6">
        <v>18000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3688</v>
      </c>
      <c r="L29" s="8">
        <f t="shared" si="0"/>
        <v>13276.8</v>
      </c>
      <c r="M29" s="8">
        <f t="shared" si="1"/>
        <v>13276.8</v>
      </c>
      <c r="N29" s="8">
        <f t="shared" si="2"/>
        <v>13276.8</v>
      </c>
      <c r="O29" s="8">
        <f t="shared" si="3"/>
        <v>13276.8</v>
      </c>
      <c r="P29" s="8">
        <f>J29*K29*12</f>
        <v>53107.2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3688</v>
      </c>
      <c r="L30" s="8">
        <f t="shared" si="0"/>
        <v>8851.2</v>
      </c>
      <c r="M30" s="8">
        <f t="shared" si="1"/>
        <v>8851.2</v>
      </c>
      <c r="N30" s="8">
        <f t="shared" si="2"/>
        <v>8851.2</v>
      </c>
      <c r="O30" s="8">
        <f t="shared" si="3"/>
        <v>8851.2</v>
      </c>
      <c r="P30" s="8">
        <f>K30*J30*12</f>
        <v>35404.8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12278</v>
      </c>
      <c r="M32" s="8">
        <f>P32/4</f>
        <v>12278</v>
      </c>
      <c r="N32" s="8">
        <f>P32/4</f>
        <v>12278</v>
      </c>
      <c r="O32" s="8">
        <f>P32/4</f>
        <v>12278</v>
      </c>
      <c r="P32" s="8">
        <v>49112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842.5</v>
      </c>
      <c r="L33" s="6"/>
      <c r="M33" s="8">
        <f>P33/2</f>
        <v>421.25</v>
      </c>
      <c r="N33" s="6"/>
      <c r="O33" s="8">
        <f>P33/2</f>
        <v>421.25</v>
      </c>
      <c r="P33" s="8">
        <f>K33*J33</f>
        <v>842.5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3688</v>
      </c>
      <c r="L35" s="8">
        <f>P35/4</f>
        <v>5310.72</v>
      </c>
      <c r="M35" s="8">
        <f>P35/4</f>
        <v>5310.72</v>
      </c>
      <c r="N35" s="8">
        <f>P35/4</f>
        <v>5310.72</v>
      </c>
      <c r="O35" s="8">
        <f>P35/4</f>
        <v>5310.72</v>
      </c>
      <c r="P35" s="8">
        <f>K35*J35*12</f>
        <v>21242.88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3688</v>
      </c>
      <c r="L37" s="6">
        <f>P37/4</f>
        <v>21021.6</v>
      </c>
      <c r="M37" s="8">
        <f>P37/4</f>
        <v>21021.6</v>
      </c>
      <c r="N37" s="8">
        <f>P37/4</f>
        <v>21021.6</v>
      </c>
      <c r="O37" s="8">
        <f>P37/4</f>
        <v>21021.6</v>
      </c>
      <c r="P37" s="8">
        <f>K37*J37*12</f>
        <v>84086.4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5310.75</v>
      </c>
      <c r="M39" s="8">
        <f>P39/4</f>
        <v>5310.75</v>
      </c>
      <c r="N39" s="8">
        <f>P39/4</f>
        <v>5310.75</v>
      </c>
      <c r="O39" s="8">
        <f>P39/4</f>
        <v>5310.75</v>
      </c>
      <c r="P39" s="8">
        <v>21243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81</v>
      </c>
      <c r="L40" s="8">
        <f>J40*K40*3</f>
        <v>957.42</v>
      </c>
      <c r="M40" s="8">
        <f>L40</f>
        <v>957.42</v>
      </c>
      <c r="N40" s="8">
        <f>M40</f>
        <v>957.42</v>
      </c>
      <c r="O40" s="8">
        <f>N40</f>
        <v>957.42</v>
      </c>
      <c r="P40" s="8">
        <f>K40*J40*12</f>
        <v>3829.68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97347.29</v>
      </c>
      <c r="M41" s="14">
        <f>SUM(M24:M40)</f>
        <v>97768.54</v>
      </c>
      <c r="N41" s="14">
        <f>SUM(N24:N40)</f>
        <v>97347.29</v>
      </c>
      <c r="O41" s="14">
        <f>SUM(O24:O40)</f>
        <v>97768.54</v>
      </c>
      <c r="P41" s="14">
        <f>SUM(P24:P40)</f>
        <v>390231.66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53213.414399999994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443445.0744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26:H26"/>
    <mergeCell ref="A27:H27"/>
    <mergeCell ref="A18:H18"/>
    <mergeCell ref="A19:H19"/>
    <mergeCell ref="A20:I20"/>
    <mergeCell ref="A25:H25"/>
    <mergeCell ref="A1:B1"/>
    <mergeCell ref="A3:B3"/>
    <mergeCell ref="L3:P3"/>
    <mergeCell ref="L4:P4"/>
    <mergeCell ref="A11:H11"/>
    <mergeCell ref="A6:P6"/>
    <mergeCell ref="A7:P7"/>
    <mergeCell ref="A9:H9"/>
    <mergeCell ref="A10:H10"/>
    <mergeCell ref="A12:H12"/>
    <mergeCell ref="A13:H13"/>
    <mergeCell ref="A14:H14"/>
    <mergeCell ref="A17:H17"/>
    <mergeCell ref="A15:H15"/>
    <mergeCell ref="A16:H16"/>
    <mergeCell ref="L21:O21"/>
    <mergeCell ref="P21:P22"/>
    <mergeCell ref="A23:H23"/>
    <mergeCell ref="A24:H24"/>
    <mergeCell ref="A21:H22"/>
    <mergeCell ref="I21:I22"/>
    <mergeCell ref="J21:J22"/>
    <mergeCell ref="K21:K22"/>
    <mergeCell ref="A28:H28"/>
    <mergeCell ref="A29:H29"/>
    <mergeCell ref="A30:H30"/>
    <mergeCell ref="A31:G31"/>
    <mergeCell ref="A36:H36"/>
    <mergeCell ref="A37:H37"/>
    <mergeCell ref="A41:H41"/>
    <mergeCell ref="A32:H32"/>
    <mergeCell ref="A33:H33"/>
    <mergeCell ref="A38:H38"/>
    <mergeCell ref="A39:H39"/>
    <mergeCell ref="A34:H34"/>
    <mergeCell ref="A35:H35"/>
    <mergeCell ref="A42:H42"/>
    <mergeCell ref="A43:H43"/>
    <mergeCell ref="A44:H44"/>
    <mergeCell ref="A40:H40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2">
      <selection activeCell="P40" sqref="P40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95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7.3*K25*12</f>
        <v>116674.44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8470.884</v>
      </c>
    </row>
    <row r="13" spans="1:9" ht="18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K30*I19*12</f>
        <v>35002.332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19217.71872</v>
      </c>
    </row>
    <row r="15" spans="1:9" ht="12" customHeight="1">
      <c r="A15" s="137" t="s">
        <v>46</v>
      </c>
      <c r="B15" s="137"/>
      <c r="C15" s="137"/>
      <c r="D15" s="137"/>
      <c r="E15" s="137"/>
      <c r="F15" s="137"/>
      <c r="G15" s="137"/>
      <c r="H15" s="137"/>
      <c r="I15" s="8">
        <f>I14</f>
        <v>19217.71872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140929.93728</v>
      </c>
    </row>
    <row r="17" spans="1:9" ht="21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21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1400</v>
      </c>
      <c r="M24" s="6">
        <f aca="true" t="shared" si="1" ref="M24:M30">P24/4</f>
        <v>1400</v>
      </c>
      <c r="N24" s="6">
        <f aca="true" t="shared" si="2" ref="N24:N30">P24/4</f>
        <v>1400</v>
      </c>
      <c r="O24" s="6">
        <f aca="true" t="shared" si="3" ref="O24:O30">P24/4</f>
        <v>1400</v>
      </c>
      <c r="P24" s="8">
        <v>5600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1331.9</v>
      </c>
      <c r="L25" s="8">
        <f t="shared" si="0"/>
        <v>2397.42</v>
      </c>
      <c r="M25" s="8">
        <f t="shared" si="1"/>
        <v>2397.42</v>
      </c>
      <c r="N25" s="8">
        <f t="shared" si="2"/>
        <v>2397.42</v>
      </c>
      <c r="O25" s="8">
        <f t="shared" si="3"/>
        <v>2397.42</v>
      </c>
      <c r="P25" s="8">
        <f>J25*K25*12</f>
        <v>9589.68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1331.9</v>
      </c>
      <c r="L26" s="8">
        <f t="shared" si="0"/>
        <v>4515.141</v>
      </c>
      <c r="M26" s="8">
        <f t="shared" si="1"/>
        <v>4515.141</v>
      </c>
      <c r="N26" s="8">
        <f t="shared" si="2"/>
        <v>4515.141</v>
      </c>
      <c r="O26" s="8">
        <f t="shared" si="3"/>
        <v>4515.141</v>
      </c>
      <c r="P26" s="8">
        <f>K26*J26*12</f>
        <v>18060.564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1331.9</v>
      </c>
      <c r="L27" s="8">
        <f t="shared" si="0"/>
        <v>1877.9790000000003</v>
      </c>
      <c r="M27" s="8">
        <f t="shared" si="1"/>
        <v>1877.9790000000003</v>
      </c>
      <c r="N27" s="8">
        <f t="shared" si="2"/>
        <v>1877.9790000000003</v>
      </c>
      <c r="O27" s="8">
        <f t="shared" si="3"/>
        <v>1877.9790000000003</v>
      </c>
      <c r="P27" s="8">
        <f>K27*J27*12</f>
        <v>7511.916000000001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2100</v>
      </c>
      <c r="M28" s="6">
        <f t="shared" si="1"/>
        <v>2100</v>
      </c>
      <c r="N28" s="6">
        <f t="shared" si="2"/>
        <v>2100</v>
      </c>
      <c r="O28" s="6">
        <f t="shared" si="3"/>
        <v>2100</v>
      </c>
      <c r="P28" s="6">
        <v>8400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1331.9</v>
      </c>
      <c r="L29" s="8">
        <f t="shared" si="0"/>
        <v>4794.84</v>
      </c>
      <c r="M29" s="8">
        <f t="shared" si="1"/>
        <v>4794.84</v>
      </c>
      <c r="N29" s="8">
        <f t="shared" si="2"/>
        <v>4794.84</v>
      </c>
      <c r="O29" s="8">
        <f t="shared" si="3"/>
        <v>4794.84</v>
      </c>
      <c r="P29" s="8">
        <f>J29*K29*12</f>
        <v>19179.36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1331.9</v>
      </c>
      <c r="L30" s="8">
        <f t="shared" si="0"/>
        <v>3196.5600000000004</v>
      </c>
      <c r="M30" s="8">
        <f t="shared" si="1"/>
        <v>3196.5600000000004</v>
      </c>
      <c r="N30" s="8">
        <f t="shared" si="2"/>
        <v>3196.5600000000004</v>
      </c>
      <c r="O30" s="8">
        <f t="shared" si="3"/>
        <v>3196.5600000000004</v>
      </c>
      <c r="P30" s="8">
        <f>K30*J30*12</f>
        <v>12786.240000000002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3089.5</v>
      </c>
      <c r="M32" s="8">
        <f>P32/4</f>
        <v>3089.5</v>
      </c>
      <c r="N32" s="8">
        <f>P32/4</f>
        <v>3089.5</v>
      </c>
      <c r="O32" s="8">
        <f>P32/4</f>
        <v>3089.5</v>
      </c>
      <c r="P32" s="8">
        <v>12358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314.8</v>
      </c>
      <c r="L33" s="6"/>
      <c r="M33" s="8">
        <f>P33/2</f>
        <v>157.4</v>
      </c>
      <c r="N33" s="6"/>
      <c r="O33" s="8">
        <f>P33/2</f>
        <v>157.4</v>
      </c>
      <c r="P33" s="8">
        <f>K33*J33</f>
        <v>314.8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1331.9</v>
      </c>
      <c r="L35" s="8">
        <f>P35/4</f>
        <v>1917.9360000000001</v>
      </c>
      <c r="M35" s="8">
        <f>P35/4</f>
        <v>1917.9360000000001</v>
      </c>
      <c r="N35" s="8">
        <f>P35/4</f>
        <v>1917.9360000000001</v>
      </c>
      <c r="O35" s="8">
        <f>P35/4</f>
        <v>1917.9360000000001</v>
      </c>
      <c r="P35" s="8">
        <f>K35*J35*12</f>
        <v>7671.744000000001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8"/>
      <c r="M36" s="8"/>
      <c r="N36" s="8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1331.9</v>
      </c>
      <c r="L37" s="8">
        <f>P37/4</f>
        <v>7591.83</v>
      </c>
      <c r="M37" s="8">
        <f>P37/4</f>
        <v>7591.83</v>
      </c>
      <c r="N37" s="8">
        <f>P37/4</f>
        <v>7591.83</v>
      </c>
      <c r="O37" s="8">
        <f>P37/4</f>
        <v>7591.83</v>
      </c>
      <c r="P37" s="8">
        <f>K37*J37*12</f>
        <v>30367.32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6">
        <f>P39/4</f>
        <v>1918</v>
      </c>
      <c r="M39" s="8">
        <f>P39/4</f>
        <v>1918</v>
      </c>
      <c r="N39" s="8">
        <f>P39/4</f>
        <v>1918</v>
      </c>
      <c r="O39" s="8">
        <f>P39/4</f>
        <v>1918</v>
      </c>
      <c r="P39" s="8">
        <v>7672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30</v>
      </c>
      <c r="L40" s="8">
        <f>J40*K40*3</f>
        <v>354.6</v>
      </c>
      <c r="M40" s="8">
        <f>L40</f>
        <v>354.6</v>
      </c>
      <c r="N40" s="8">
        <f>M40</f>
        <v>354.6</v>
      </c>
      <c r="O40" s="8">
        <f>N40</f>
        <v>354.6</v>
      </c>
      <c r="P40" s="8">
        <f>K40*J40*12</f>
        <v>1418.4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35153.806000000004</v>
      </c>
      <c r="M41" s="14">
        <f>SUM(M24:M40)</f>
        <v>35311.206000000006</v>
      </c>
      <c r="N41" s="14">
        <f>SUM(N24:N40)</f>
        <v>35153.806000000004</v>
      </c>
      <c r="O41" s="14">
        <f>SUM(O24:O40)</f>
        <v>35311.206000000006</v>
      </c>
      <c r="P41" s="14">
        <f>SUM(P24:P40)</f>
        <v>140930.024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19217.71872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160147.74272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8:H18"/>
    <mergeCell ref="A19:H19"/>
    <mergeCell ref="A1:B1"/>
    <mergeCell ref="A3:B3"/>
    <mergeCell ref="A12:H12"/>
    <mergeCell ref="A13:H13"/>
    <mergeCell ref="A14:H14"/>
    <mergeCell ref="A17:H17"/>
    <mergeCell ref="A15:H15"/>
    <mergeCell ref="A16:H16"/>
    <mergeCell ref="L3:P3"/>
    <mergeCell ref="L4:P4"/>
    <mergeCell ref="A11:H11"/>
    <mergeCell ref="A6:P6"/>
    <mergeCell ref="A7:P7"/>
    <mergeCell ref="A9:H9"/>
    <mergeCell ref="A10:H10"/>
    <mergeCell ref="A20:I20"/>
    <mergeCell ref="L21:O21"/>
    <mergeCell ref="P21:P22"/>
    <mergeCell ref="A23:H23"/>
    <mergeCell ref="K21:K22"/>
    <mergeCell ref="A24:H24"/>
    <mergeCell ref="A21:H22"/>
    <mergeCell ref="I21:I22"/>
    <mergeCell ref="J21:J22"/>
    <mergeCell ref="A25:H25"/>
    <mergeCell ref="A26:H26"/>
    <mergeCell ref="A27:H27"/>
    <mergeCell ref="A28:H28"/>
    <mergeCell ref="A29:H29"/>
    <mergeCell ref="A30:H30"/>
    <mergeCell ref="A31:G31"/>
    <mergeCell ref="A32:H32"/>
    <mergeCell ref="A33:H33"/>
    <mergeCell ref="A38:H38"/>
    <mergeCell ref="A39:H39"/>
    <mergeCell ref="A40:H40"/>
    <mergeCell ref="A34:H34"/>
    <mergeCell ref="A35:H35"/>
    <mergeCell ref="A36:H36"/>
    <mergeCell ref="A37:H37"/>
    <mergeCell ref="A41:H41"/>
    <mergeCell ref="A42:H42"/>
    <mergeCell ref="A43:H43"/>
    <mergeCell ref="A44:H4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5">
      <selection activeCell="P39" sqref="P39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96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112"/>
      <c r="B9" s="112"/>
      <c r="C9" s="112"/>
      <c r="D9" s="112"/>
      <c r="E9" s="112"/>
      <c r="F9" s="112"/>
      <c r="G9" s="112"/>
      <c r="H9" s="112"/>
      <c r="I9" s="4" t="s">
        <v>6</v>
      </c>
    </row>
    <row r="10" spans="1:9" ht="1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I17*K25*12</f>
        <v>127782.12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K25*I18*12</f>
        <v>9277.332000000002</v>
      </c>
    </row>
    <row r="13" spans="1:9" ht="15.7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K26*I19*12</f>
        <v>38334.636</v>
      </c>
    </row>
    <row r="14" spans="1:9" ht="11.25" customHeight="1">
      <c r="A14" s="137" t="s">
        <v>44</v>
      </c>
      <c r="B14" s="137"/>
      <c r="C14" s="137"/>
      <c r="D14" s="137"/>
      <c r="E14" s="137"/>
      <c r="F14" s="137"/>
      <c r="G14" s="137"/>
      <c r="H14" s="137"/>
      <c r="I14" s="19">
        <f>(I11+I12+I13)*12%</f>
        <v>21047.290559999998</v>
      </c>
    </row>
    <row r="15" spans="1:9" ht="12" customHeight="1">
      <c r="A15" s="137" t="s">
        <v>46</v>
      </c>
      <c r="B15" s="137"/>
      <c r="C15" s="137"/>
      <c r="D15" s="137"/>
      <c r="E15" s="137"/>
      <c r="F15" s="137"/>
      <c r="G15" s="137"/>
      <c r="H15" s="137"/>
      <c r="I15" s="8">
        <f>I14</f>
        <v>21047.290559999998</v>
      </c>
    </row>
    <row r="16" spans="1:9" ht="12" customHeight="1">
      <c r="A16" s="124" t="s">
        <v>4</v>
      </c>
      <c r="B16" s="124"/>
      <c r="C16" s="124"/>
      <c r="D16" s="124"/>
      <c r="E16" s="124"/>
      <c r="F16" s="124"/>
      <c r="G16" s="124"/>
      <c r="H16" s="124"/>
      <c r="I16" s="14">
        <f>(I11+I12+I13)-I15</f>
        <v>154346.79744</v>
      </c>
    </row>
    <row r="17" spans="1:9" ht="21.75" customHeight="1">
      <c r="A17" s="62" t="s">
        <v>5</v>
      </c>
      <c r="B17" s="62"/>
      <c r="C17" s="62"/>
      <c r="D17" s="62"/>
      <c r="E17" s="62"/>
      <c r="F17" s="62"/>
      <c r="G17" s="62"/>
      <c r="H17" s="62"/>
      <c r="I17" s="6">
        <v>7.3</v>
      </c>
    </row>
    <row r="18" spans="1:9" ht="21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18.75" customHeight="1">
      <c r="A19" s="62" t="s">
        <v>103</v>
      </c>
      <c r="B19" s="62"/>
      <c r="C19" s="62"/>
      <c r="D19" s="62"/>
      <c r="E19" s="62"/>
      <c r="F19" s="62"/>
      <c r="G19" s="62"/>
      <c r="H19" s="62"/>
      <c r="I19" s="6">
        <v>2.19</v>
      </c>
    </row>
    <row r="20" spans="1:9" ht="1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6" ht="15" customHeight="1">
      <c r="A21" s="101" t="s">
        <v>7</v>
      </c>
      <c r="B21" s="101"/>
      <c r="C21" s="101"/>
      <c r="D21" s="101"/>
      <c r="E21" s="101"/>
      <c r="F21" s="101"/>
      <c r="G21" s="101"/>
      <c r="H21" s="101"/>
      <c r="I21" s="102" t="s">
        <v>8</v>
      </c>
      <c r="J21" s="102" t="s">
        <v>9</v>
      </c>
      <c r="K21" s="102" t="s">
        <v>10</v>
      </c>
      <c r="L21" s="99" t="s">
        <v>11</v>
      </c>
      <c r="M21" s="99"/>
      <c r="N21" s="99"/>
      <c r="O21" s="100"/>
      <c r="P21" s="101" t="s">
        <v>16</v>
      </c>
    </row>
    <row r="22" spans="1:16" ht="18.75" customHeight="1">
      <c r="A22" s="101"/>
      <c r="B22" s="101"/>
      <c r="C22" s="101"/>
      <c r="D22" s="101"/>
      <c r="E22" s="101"/>
      <c r="F22" s="101"/>
      <c r="G22" s="101"/>
      <c r="H22" s="101"/>
      <c r="I22" s="103"/>
      <c r="J22" s="103"/>
      <c r="K22" s="103"/>
      <c r="L22" s="6" t="s">
        <v>12</v>
      </c>
      <c r="M22" s="6" t="s">
        <v>13</v>
      </c>
      <c r="N22" s="6" t="s">
        <v>14</v>
      </c>
      <c r="O22" s="6" t="s">
        <v>15</v>
      </c>
      <c r="P22" s="101"/>
    </row>
    <row r="23" spans="1:16" ht="15">
      <c r="A23" s="45" t="s">
        <v>17</v>
      </c>
      <c r="B23" s="46"/>
      <c r="C23" s="46"/>
      <c r="D23" s="46"/>
      <c r="E23" s="46"/>
      <c r="F23" s="46"/>
      <c r="G23" s="46"/>
      <c r="H23" s="47"/>
      <c r="I23" s="5"/>
      <c r="J23" s="2"/>
      <c r="K23" s="2"/>
      <c r="L23" s="6"/>
      <c r="M23" s="6"/>
      <c r="N23" s="6"/>
      <c r="O23" s="6"/>
      <c r="P23" s="2"/>
    </row>
    <row r="24" spans="1:16" ht="15">
      <c r="A24" s="48" t="s">
        <v>18</v>
      </c>
      <c r="B24" s="49"/>
      <c r="C24" s="49"/>
      <c r="D24" s="49"/>
      <c r="E24" s="49"/>
      <c r="F24" s="49"/>
      <c r="G24" s="49"/>
      <c r="H24" s="84"/>
      <c r="I24" s="5"/>
      <c r="J24" s="2"/>
      <c r="K24" s="2"/>
      <c r="L24" s="6">
        <f aca="true" t="shared" si="0" ref="L24:L30">P24/4</f>
        <v>1000</v>
      </c>
      <c r="M24" s="6">
        <f aca="true" t="shared" si="1" ref="M24:M30">P24/4</f>
        <v>1000</v>
      </c>
      <c r="N24" s="6">
        <f aca="true" t="shared" si="2" ref="N24:N30">P24/4</f>
        <v>1000</v>
      </c>
      <c r="O24" s="6">
        <f aca="true" t="shared" si="3" ref="O24:O30">P24/4</f>
        <v>1000</v>
      </c>
      <c r="P24" s="8">
        <v>4000</v>
      </c>
    </row>
    <row r="25" spans="1:18" ht="22.5">
      <c r="A25" s="48" t="s">
        <v>19</v>
      </c>
      <c r="B25" s="49"/>
      <c r="C25" s="49"/>
      <c r="D25" s="49"/>
      <c r="E25" s="49"/>
      <c r="F25" s="49"/>
      <c r="G25" s="49"/>
      <c r="H25" s="84"/>
      <c r="I25" s="4" t="s">
        <v>23</v>
      </c>
      <c r="J25" s="6">
        <v>0.6</v>
      </c>
      <c r="K25" s="6">
        <v>1458.7</v>
      </c>
      <c r="L25" s="8">
        <f t="shared" si="0"/>
        <v>2625.66</v>
      </c>
      <c r="M25" s="8">
        <f t="shared" si="1"/>
        <v>2625.66</v>
      </c>
      <c r="N25" s="8">
        <f t="shared" si="2"/>
        <v>2625.66</v>
      </c>
      <c r="O25" s="8">
        <f t="shared" si="3"/>
        <v>2625.66</v>
      </c>
      <c r="P25" s="8">
        <f>J25*K25*12</f>
        <v>10502.64</v>
      </c>
      <c r="R25" s="12"/>
    </row>
    <row r="26" spans="1:16" ht="22.5">
      <c r="A26" s="48" t="s">
        <v>20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1.13</v>
      </c>
      <c r="K26" s="6">
        <v>1458.7</v>
      </c>
      <c r="L26" s="8">
        <f t="shared" si="0"/>
        <v>4944.9929999999995</v>
      </c>
      <c r="M26" s="8">
        <f t="shared" si="1"/>
        <v>4944.9929999999995</v>
      </c>
      <c r="N26" s="8">
        <f t="shared" si="2"/>
        <v>4944.9929999999995</v>
      </c>
      <c r="O26" s="8">
        <f t="shared" si="3"/>
        <v>4944.9929999999995</v>
      </c>
      <c r="P26" s="8">
        <f>K26*J26*12</f>
        <v>19779.971999999998</v>
      </c>
    </row>
    <row r="27" spans="1:16" ht="22.5">
      <c r="A27" s="48" t="s">
        <v>21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0.47</v>
      </c>
      <c r="K27" s="6">
        <v>1458.7</v>
      </c>
      <c r="L27" s="8">
        <f t="shared" si="0"/>
        <v>2056.767</v>
      </c>
      <c r="M27" s="8">
        <f t="shared" si="1"/>
        <v>2056.767</v>
      </c>
      <c r="N27" s="8">
        <f t="shared" si="2"/>
        <v>2056.767</v>
      </c>
      <c r="O27" s="8">
        <f t="shared" si="3"/>
        <v>2056.767</v>
      </c>
      <c r="P27" s="8">
        <f>K27*J27*12</f>
        <v>8227.068</v>
      </c>
    </row>
    <row r="28" spans="1:16" ht="21.75" customHeight="1">
      <c r="A28" s="85" t="s">
        <v>39</v>
      </c>
      <c r="B28" s="86"/>
      <c r="C28" s="86"/>
      <c r="D28" s="86"/>
      <c r="E28" s="86"/>
      <c r="F28" s="86"/>
      <c r="G28" s="86"/>
      <c r="H28" s="87"/>
      <c r="I28" s="4" t="s">
        <v>23</v>
      </c>
      <c r="J28" s="6"/>
      <c r="K28" s="6"/>
      <c r="L28" s="6">
        <f t="shared" si="0"/>
        <v>2250</v>
      </c>
      <c r="M28" s="6">
        <f t="shared" si="1"/>
        <v>2250</v>
      </c>
      <c r="N28" s="6">
        <f t="shared" si="2"/>
        <v>2250</v>
      </c>
      <c r="O28" s="6">
        <f t="shared" si="3"/>
        <v>2250</v>
      </c>
      <c r="P28" s="6">
        <v>9000</v>
      </c>
    </row>
    <row r="29" spans="1:16" ht="22.5">
      <c r="A29" s="48" t="s">
        <v>40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1.2</v>
      </c>
      <c r="K29" s="6">
        <v>1458.7</v>
      </c>
      <c r="L29" s="8">
        <f t="shared" si="0"/>
        <v>5251.32</v>
      </c>
      <c r="M29" s="8">
        <f t="shared" si="1"/>
        <v>5251.32</v>
      </c>
      <c r="N29" s="8">
        <f t="shared" si="2"/>
        <v>5251.32</v>
      </c>
      <c r="O29" s="8">
        <f t="shared" si="3"/>
        <v>5251.32</v>
      </c>
      <c r="P29" s="8">
        <f>J29*K29*12</f>
        <v>21005.28</v>
      </c>
    </row>
    <row r="30" spans="1:16" ht="22.5" customHeight="1">
      <c r="A30" s="48" t="s">
        <v>41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0.8</v>
      </c>
      <c r="K30" s="6">
        <v>1458.7</v>
      </c>
      <c r="L30" s="8">
        <f t="shared" si="0"/>
        <v>3500.88</v>
      </c>
      <c r="M30" s="8">
        <f t="shared" si="1"/>
        <v>3500.88</v>
      </c>
      <c r="N30" s="8">
        <f t="shared" si="2"/>
        <v>3500.88</v>
      </c>
      <c r="O30" s="8">
        <f t="shared" si="3"/>
        <v>3500.88</v>
      </c>
      <c r="P30" s="8">
        <f>K30*J30*12</f>
        <v>14003.52</v>
      </c>
    </row>
    <row r="31" spans="1:16" ht="22.5" customHeight="1">
      <c r="A31" s="48" t="s">
        <v>47</v>
      </c>
      <c r="B31" s="49"/>
      <c r="C31" s="49"/>
      <c r="D31" s="49"/>
      <c r="E31" s="49"/>
      <c r="F31" s="49"/>
      <c r="G31" s="49"/>
      <c r="H31" s="17"/>
      <c r="I31" s="4" t="s">
        <v>24</v>
      </c>
      <c r="J31" s="6"/>
      <c r="K31" s="6"/>
      <c r="L31" s="8"/>
      <c r="M31" s="8"/>
      <c r="N31" s="8"/>
      <c r="O31" s="8"/>
      <c r="P31" s="8"/>
    </row>
    <row r="32" spans="1:16" ht="24" customHeight="1">
      <c r="A32" s="85" t="s">
        <v>48</v>
      </c>
      <c r="B32" s="86"/>
      <c r="C32" s="86"/>
      <c r="D32" s="86"/>
      <c r="E32" s="86"/>
      <c r="F32" s="86"/>
      <c r="G32" s="86"/>
      <c r="H32" s="87"/>
      <c r="I32" s="5"/>
      <c r="J32" s="6"/>
      <c r="K32" s="2"/>
      <c r="L32" s="8">
        <f>P32/4</f>
        <v>4006</v>
      </c>
      <c r="M32" s="8">
        <f>P32/4</f>
        <v>4006</v>
      </c>
      <c r="N32" s="8">
        <f>P32/4</f>
        <v>4006</v>
      </c>
      <c r="O32" s="8">
        <f>P32/4</f>
        <v>4006</v>
      </c>
      <c r="P32" s="8">
        <v>16024</v>
      </c>
    </row>
    <row r="33" spans="1:18" ht="15">
      <c r="A33" s="48" t="s">
        <v>49</v>
      </c>
      <c r="B33" s="49"/>
      <c r="C33" s="49"/>
      <c r="D33" s="49"/>
      <c r="E33" s="49"/>
      <c r="F33" s="49"/>
      <c r="G33" s="49"/>
      <c r="H33" s="84"/>
      <c r="I33" s="6" t="s">
        <v>25</v>
      </c>
      <c r="J33" s="6">
        <v>1</v>
      </c>
      <c r="K33" s="6">
        <v>323.9</v>
      </c>
      <c r="L33" s="6"/>
      <c r="M33" s="8">
        <f>P33/2</f>
        <v>161.95</v>
      </c>
      <c r="N33" s="6"/>
      <c r="O33" s="8">
        <f>P33/2</f>
        <v>161.95</v>
      </c>
      <c r="P33" s="8">
        <f>K33*J33</f>
        <v>323.9</v>
      </c>
      <c r="R33" s="12"/>
    </row>
    <row r="34" spans="1:18" ht="15">
      <c r="A34" s="45" t="s">
        <v>107</v>
      </c>
      <c r="B34" s="46"/>
      <c r="C34" s="46"/>
      <c r="D34" s="46"/>
      <c r="E34" s="46"/>
      <c r="F34" s="46"/>
      <c r="G34" s="46"/>
      <c r="H34" s="47"/>
      <c r="I34" s="6"/>
      <c r="J34" s="6"/>
      <c r="K34" s="6"/>
      <c r="L34" s="6"/>
      <c r="M34" s="8"/>
      <c r="N34" s="6"/>
      <c r="O34" s="8"/>
      <c r="P34" s="8"/>
      <c r="R34" s="12"/>
    </row>
    <row r="35" spans="1:18" ht="22.5">
      <c r="A35" s="48" t="s">
        <v>108</v>
      </c>
      <c r="B35" s="49"/>
      <c r="C35" s="49"/>
      <c r="D35" s="49"/>
      <c r="E35" s="49"/>
      <c r="F35" s="49"/>
      <c r="G35" s="49"/>
      <c r="H35" s="84"/>
      <c r="I35" s="4" t="s">
        <v>23</v>
      </c>
      <c r="J35" s="6">
        <v>0.48</v>
      </c>
      <c r="K35" s="6">
        <v>1458.7</v>
      </c>
      <c r="L35" s="8">
        <f>P35/4</f>
        <v>2100.5280000000002</v>
      </c>
      <c r="M35" s="8">
        <f>P35/4</f>
        <v>2100.5280000000002</v>
      </c>
      <c r="N35" s="8">
        <f>P35/4</f>
        <v>2100.5280000000002</v>
      </c>
      <c r="O35" s="8">
        <f>P35/4</f>
        <v>2100.5280000000002</v>
      </c>
      <c r="P35" s="8">
        <f>K35*J35*12</f>
        <v>8402.112000000001</v>
      </c>
      <c r="R35" s="12"/>
    </row>
    <row r="36" spans="1:18" ht="15">
      <c r="A36" s="45" t="s">
        <v>117</v>
      </c>
      <c r="B36" s="46"/>
      <c r="C36" s="46"/>
      <c r="D36" s="46"/>
      <c r="E36" s="46"/>
      <c r="F36" s="46"/>
      <c r="G36" s="46"/>
      <c r="H36" s="47"/>
      <c r="I36" s="4"/>
      <c r="J36" s="6"/>
      <c r="K36" s="6"/>
      <c r="L36" s="6"/>
      <c r="M36" s="8"/>
      <c r="N36" s="6"/>
      <c r="O36" s="8"/>
      <c r="P36" s="8"/>
      <c r="R36" s="12"/>
    </row>
    <row r="37" spans="1:18" ht="22.5">
      <c r="A37" s="48" t="s">
        <v>118</v>
      </c>
      <c r="B37" s="49"/>
      <c r="C37" s="49"/>
      <c r="D37" s="49"/>
      <c r="E37" s="49"/>
      <c r="F37" s="49"/>
      <c r="G37" s="49"/>
      <c r="H37" s="84"/>
      <c r="I37" s="4" t="s">
        <v>23</v>
      </c>
      <c r="J37" s="6">
        <v>1.9</v>
      </c>
      <c r="K37" s="6">
        <v>1458.7</v>
      </c>
      <c r="L37" s="8">
        <f>P37/4</f>
        <v>8314.59</v>
      </c>
      <c r="M37" s="8">
        <f>P37/4</f>
        <v>8314.59</v>
      </c>
      <c r="N37" s="8">
        <f>P37/4</f>
        <v>8314.59</v>
      </c>
      <c r="O37" s="8">
        <f>P37/4</f>
        <v>8314.59</v>
      </c>
      <c r="P37" s="8">
        <f>K37*J37*12</f>
        <v>33258.36</v>
      </c>
      <c r="R37" s="12"/>
    </row>
    <row r="38" spans="1:16" ht="15">
      <c r="A38" s="45" t="s">
        <v>119</v>
      </c>
      <c r="B38" s="46"/>
      <c r="C38" s="46"/>
      <c r="D38" s="46"/>
      <c r="E38" s="46"/>
      <c r="F38" s="46"/>
      <c r="G38" s="46"/>
      <c r="H38" s="47"/>
      <c r="I38" s="5"/>
      <c r="J38" s="6"/>
      <c r="K38" s="2"/>
      <c r="L38" s="2"/>
      <c r="M38" s="2"/>
      <c r="N38" s="2"/>
      <c r="O38" s="2"/>
      <c r="P38" s="6"/>
    </row>
    <row r="39" spans="1:16" ht="21" customHeight="1">
      <c r="A39" s="85" t="s">
        <v>120</v>
      </c>
      <c r="B39" s="86"/>
      <c r="C39" s="86"/>
      <c r="D39" s="86"/>
      <c r="E39" s="86"/>
      <c r="F39" s="86"/>
      <c r="G39" s="86"/>
      <c r="H39" s="87"/>
      <c r="I39" s="2"/>
      <c r="J39" s="6"/>
      <c r="K39" s="2"/>
      <c r="L39" s="8">
        <f>P39/4</f>
        <v>2100.5</v>
      </c>
      <c r="M39" s="8">
        <f>P39/4</f>
        <v>2100.5</v>
      </c>
      <c r="N39" s="8">
        <f>P39/4</f>
        <v>2100.5</v>
      </c>
      <c r="O39" s="8">
        <f>P39/4</f>
        <v>2100.5</v>
      </c>
      <c r="P39" s="8">
        <v>8402</v>
      </c>
    </row>
    <row r="40" spans="1:16" ht="15" customHeight="1">
      <c r="A40" s="85" t="s">
        <v>121</v>
      </c>
      <c r="B40" s="86"/>
      <c r="C40" s="86"/>
      <c r="D40" s="86"/>
      <c r="E40" s="86"/>
      <c r="F40" s="86"/>
      <c r="G40" s="86"/>
      <c r="H40" s="87"/>
      <c r="I40" s="6" t="s">
        <v>27</v>
      </c>
      <c r="J40" s="6">
        <v>3.94</v>
      </c>
      <c r="K40" s="6">
        <v>30</v>
      </c>
      <c r="L40" s="8">
        <f>J40*K40*3</f>
        <v>354.6</v>
      </c>
      <c r="M40" s="8">
        <f>L40</f>
        <v>354.6</v>
      </c>
      <c r="N40" s="8">
        <f>M40</f>
        <v>354.6</v>
      </c>
      <c r="O40" s="8">
        <f>N40</f>
        <v>354.6</v>
      </c>
      <c r="P40" s="8">
        <f>K40*J40*12</f>
        <v>1418.4</v>
      </c>
    </row>
    <row r="41" spans="1:17" ht="15">
      <c r="A41" s="45" t="s">
        <v>28</v>
      </c>
      <c r="B41" s="46"/>
      <c r="C41" s="46"/>
      <c r="D41" s="46"/>
      <c r="E41" s="46"/>
      <c r="F41" s="46"/>
      <c r="G41" s="46"/>
      <c r="H41" s="47"/>
      <c r="I41" s="2"/>
      <c r="J41" s="6"/>
      <c r="K41" s="2"/>
      <c r="L41" s="14">
        <f>SUM(L24:L40)</f>
        <v>38505.837999999996</v>
      </c>
      <c r="M41" s="14">
        <f>SUM(M24:M40)</f>
        <v>38667.78799999999</v>
      </c>
      <c r="N41" s="14">
        <f>SUM(N24:N40)</f>
        <v>38505.837999999996</v>
      </c>
      <c r="O41" s="14">
        <f>SUM(O24:O40)</f>
        <v>38667.78799999999</v>
      </c>
      <c r="P41" s="14">
        <f>SUM(P24:P40)</f>
        <v>154347.252</v>
      </c>
      <c r="Q41" s="15"/>
    </row>
    <row r="42" spans="1:16" ht="15" customHeight="1">
      <c r="A42" s="85" t="s">
        <v>122</v>
      </c>
      <c r="B42" s="86"/>
      <c r="C42" s="86"/>
      <c r="D42" s="86"/>
      <c r="E42" s="86"/>
      <c r="F42" s="86"/>
      <c r="G42" s="86"/>
      <c r="H42" s="87"/>
      <c r="I42" s="2"/>
      <c r="J42" s="6"/>
      <c r="K42" s="2"/>
      <c r="L42" s="13"/>
      <c r="M42" s="13"/>
      <c r="N42" s="13"/>
      <c r="O42" s="13"/>
      <c r="P42" s="8">
        <f>I15</f>
        <v>21047.290559999998</v>
      </c>
    </row>
    <row r="43" spans="1:16" ht="15" customHeight="1">
      <c r="A43" s="88" t="s">
        <v>29</v>
      </c>
      <c r="B43" s="89"/>
      <c r="C43" s="89"/>
      <c r="D43" s="89"/>
      <c r="E43" s="89"/>
      <c r="F43" s="89"/>
      <c r="G43" s="89"/>
      <c r="H43" s="90"/>
      <c r="I43" s="2"/>
      <c r="J43" s="6"/>
      <c r="K43" s="2"/>
      <c r="L43" s="13"/>
      <c r="M43" s="13"/>
      <c r="N43" s="13"/>
      <c r="O43" s="13"/>
      <c r="P43" s="14">
        <f>P41+P42</f>
        <v>175394.54256</v>
      </c>
    </row>
    <row r="44" spans="1:19" ht="15">
      <c r="A44" s="48" t="s">
        <v>30</v>
      </c>
      <c r="B44" s="49"/>
      <c r="C44" s="49"/>
      <c r="D44" s="49"/>
      <c r="E44" s="49"/>
      <c r="F44" s="49"/>
      <c r="G44" s="49"/>
      <c r="H44" s="84"/>
      <c r="I44" s="2"/>
      <c r="J44" s="6"/>
      <c r="K44" s="2"/>
      <c r="L44" s="2"/>
      <c r="M44" s="2"/>
      <c r="N44" s="2"/>
      <c r="O44" s="2"/>
      <c r="P44" s="6">
        <v>0</v>
      </c>
      <c r="Q44" s="15"/>
      <c r="S44" s="15"/>
    </row>
  </sheetData>
  <mergeCells count="46">
    <mergeCell ref="A19:H19"/>
    <mergeCell ref="A34:H34"/>
    <mergeCell ref="A18:H18"/>
    <mergeCell ref="A20:I20"/>
    <mergeCell ref="A25:H25"/>
    <mergeCell ref="A26:H26"/>
    <mergeCell ref="A27:H27"/>
    <mergeCell ref="A28:H28"/>
    <mergeCell ref="A29:H29"/>
    <mergeCell ref="A30:H30"/>
    <mergeCell ref="A1:B1"/>
    <mergeCell ref="A3:B3"/>
    <mergeCell ref="L3:P3"/>
    <mergeCell ref="L4:P4"/>
    <mergeCell ref="A11:H11"/>
    <mergeCell ref="A6:P6"/>
    <mergeCell ref="A7:P7"/>
    <mergeCell ref="A9:H9"/>
    <mergeCell ref="A10:H10"/>
    <mergeCell ref="A12:H12"/>
    <mergeCell ref="A13:H13"/>
    <mergeCell ref="A14:H14"/>
    <mergeCell ref="A17:H17"/>
    <mergeCell ref="A15:H15"/>
    <mergeCell ref="A16:H16"/>
    <mergeCell ref="L21:O21"/>
    <mergeCell ref="P21:P22"/>
    <mergeCell ref="A23:H23"/>
    <mergeCell ref="A24:H24"/>
    <mergeCell ref="A21:H22"/>
    <mergeCell ref="I21:I22"/>
    <mergeCell ref="J21:J22"/>
    <mergeCell ref="K21:K22"/>
    <mergeCell ref="A31:G31"/>
    <mergeCell ref="A32:H32"/>
    <mergeCell ref="A33:H33"/>
    <mergeCell ref="A38:H38"/>
    <mergeCell ref="A39:H39"/>
    <mergeCell ref="A40:H40"/>
    <mergeCell ref="A35:H35"/>
    <mergeCell ref="A36:H36"/>
    <mergeCell ref="A37:H37"/>
    <mergeCell ref="A41:H41"/>
    <mergeCell ref="A42:H42"/>
    <mergeCell ref="A43:H43"/>
    <mergeCell ref="A44:H4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9">
      <selection activeCell="S29" sqref="S29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2.09765625" style="0" customWidth="1"/>
    <col min="7" max="7" width="1.1015625" style="0" customWidth="1"/>
    <col min="8" max="8" width="0.3046875" style="0" customWidth="1"/>
    <col min="9" max="9" width="8.09765625" style="0" customWidth="1"/>
    <col min="10" max="11" width="6.8984375" style="0" customWidth="1"/>
    <col min="12" max="12" width="6.59765625" style="0" customWidth="1"/>
    <col min="13" max="13" width="6.3984375" style="0" customWidth="1"/>
    <col min="14" max="14" width="7.09765625" style="0" customWidth="1"/>
    <col min="15" max="15" width="6.3984375" style="0" customWidth="1"/>
    <col min="16" max="16" width="7.296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3.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K22*I16*12</f>
        <v>473247.0396</v>
      </c>
    </row>
    <row r="12" spans="1:9" ht="12.75" customHeight="1">
      <c r="A12" s="63" t="s">
        <v>43</v>
      </c>
      <c r="B12" s="64"/>
      <c r="C12" s="64"/>
      <c r="D12" s="64"/>
      <c r="E12" s="64"/>
      <c r="F12" s="64"/>
      <c r="G12" s="64"/>
      <c r="H12" s="65"/>
      <c r="I12" s="39"/>
    </row>
    <row r="13" spans="1:9" ht="12.75" customHeight="1">
      <c r="A13" s="66" t="s">
        <v>44</v>
      </c>
      <c r="B13" s="67"/>
      <c r="C13" s="67"/>
      <c r="D13" s="67"/>
      <c r="E13" s="67"/>
      <c r="F13" s="67"/>
      <c r="G13" s="67"/>
      <c r="H13" s="68"/>
      <c r="I13" s="39">
        <f>SUM(I11:I11)*12%</f>
        <v>56789.644752</v>
      </c>
    </row>
    <row r="14" spans="1:9" ht="13.5" customHeight="1">
      <c r="A14" s="69" t="s">
        <v>46</v>
      </c>
      <c r="B14" s="70"/>
      <c r="C14" s="70"/>
      <c r="D14" s="70"/>
      <c r="E14" s="70"/>
      <c r="F14" s="70"/>
      <c r="G14" s="70"/>
      <c r="H14" s="71"/>
      <c r="I14" s="33">
        <f>I13</f>
        <v>56789.644752</v>
      </c>
    </row>
    <row r="15" spans="1:9" ht="12" customHeight="1">
      <c r="A15" s="72" t="s">
        <v>4</v>
      </c>
      <c r="B15" s="72"/>
      <c r="C15" s="72"/>
      <c r="D15" s="72"/>
      <c r="E15" s="72"/>
      <c r="F15" s="72"/>
      <c r="G15" s="72"/>
      <c r="H15" s="72"/>
      <c r="I15" s="32">
        <f>SUM(I11:I11)-I14</f>
        <v>416457.394848</v>
      </c>
    </row>
    <row r="16" spans="1:9" ht="23.25" customHeight="1">
      <c r="A16" s="61" t="s">
        <v>5</v>
      </c>
      <c r="B16" s="61"/>
      <c r="C16" s="61"/>
      <c r="D16" s="61"/>
      <c r="E16" s="61"/>
      <c r="F16" s="61"/>
      <c r="G16" s="61"/>
      <c r="H16" s="61"/>
      <c r="I16" s="28">
        <v>5.79</v>
      </c>
    </row>
    <row r="17" spans="1:9" ht="15">
      <c r="A17" s="123"/>
      <c r="B17" s="123"/>
      <c r="C17" s="123"/>
      <c r="D17" s="123"/>
      <c r="E17" s="123"/>
      <c r="F17" s="123"/>
      <c r="G17" s="123"/>
      <c r="H17" s="123"/>
      <c r="I17" s="123"/>
    </row>
    <row r="18" spans="1:16" ht="15" customHeight="1">
      <c r="A18" s="101" t="s">
        <v>7</v>
      </c>
      <c r="B18" s="101"/>
      <c r="C18" s="101"/>
      <c r="D18" s="101"/>
      <c r="E18" s="101"/>
      <c r="F18" s="101"/>
      <c r="G18" s="101"/>
      <c r="H18" s="101"/>
      <c r="I18" s="102" t="s">
        <v>8</v>
      </c>
      <c r="J18" s="102" t="s">
        <v>9</v>
      </c>
      <c r="K18" s="102" t="s">
        <v>10</v>
      </c>
      <c r="L18" s="99" t="s">
        <v>11</v>
      </c>
      <c r="M18" s="99"/>
      <c r="N18" s="99"/>
      <c r="O18" s="100"/>
      <c r="P18" s="101" t="s">
        <v>16</v>
      </c>
    </row>
    <row r="19" spans="1:16" ht="18.75" customHeight="1">
      <c r="A19" s="101"/>
      <c r="B19" s="101"/>
      <c r="C19" s="101"/>
      <c r="D19" s="101"/>
      <c r="E19" s="101"/>
      <c r="F19" s="101"/>
      <c r="G19" s="101"/>
      <c r="H19" s="101"/>
      <c r="I19" s="103"/>
      <c r="J19" s="103"/>
      <c r="K19" s="103"/>
      <c r="L19" s="6" t="s">
        <v>12</v>
      </c>
      <c r="M19" s="6" t="s">
        <v>13</v>
      </c>
      <c r="N19" s="6" t="s">
        <v>14</v>
      </c>
      <c r="O19" s="6" t="s">
        <v>15</v>
      </c>
      <c r="P19" s="101"/>
    </row>
    <row r="20" spans="1:16" ht="15">
      <c r="A20" s="45" t="s">
        <v>17</v>
      </c>
      <c r="B20" s="46"/>
      <c r="C20" s="46"/>
      <c r="D20" s="46"/>
      <c r="E20" s="46"/>
      <c r="F20" s="46"/>
      <c r="G20" s="46"/>
      <c r="H20" s="47"/>
      <c r="I20" s="5"/>
      <c r="J20" s="2"/>
      <c r="K20" s="2"/>
      <c r="L20" s="6"/>
      <c r="M20" s="6"/>
      <c r="N20" s="6"/>
      <c r="O20" s="6"/>
      <c r="P20" s="2"/>
    </row>
    <row r="21" spans="1:16" ht="15">
      <c r="A21" s="48" t="s">
        <v>18</v>
      </c>
      <c r="B21" s="49"/>
      <c r="C21" s="49"/>
      <c r="D21" s="49"/>
      <c r="E21" s="49"/>
      <c r="F21" s="49"/>
      <c r="G21" s="49"/>
      <c r="H21" s="84"/>
      <c r="I21" s="5"/>
      <c r="J21" s="2"/>
      <c r="K21" s="2"/>
      <c r="L21" s="6">
        <f aca="true" t="shared" si="0" ref="L21:L29">P21/4</f>
        <v>5000</v>
      </c>
      <c r="M21" s="6">
        <f aca="true" t="shared" si="1" ref="M21:M27">P21/4</f>
        <v>5000</v>
      </c>
      <c r="N21" s="6">
        <f aca="true" t="shared" si="2" ref="N21:N27">P21/4</f>
        <v>5000</v>
      </c>
      <c r="O21" s="6">
        <f aca="true" t="shared" si="3" ref="O21:O27">P21/4</f>
        <v>5000</v>
      </c>
      <c r="P21" s="8">
        <v>20000</v>
      </c>
    </row>
    <row r="22" spans="1:18" ht="22.5">
      <c r="A22" s="48" t="s">
        <v>19</v>
      </c>
      <c r="B22" s="49"/>
      <c r="C22" s="49"/>
      <c r="D22" s="49"/>
      <c r="E22" s="49"/>
      <c r="F22" s="49"/>
      <c r="G22" s="49"/>
      <c r="H22" s="84"/>
      <c r="I22" s="4" t="s">
        <v>23</v>
      </c>
      <c r="J22" s="6">
        <v>0.52</v>
      </c>
      <c r="K22" s="6">
        <v>6811.27</v>
      </c>
      <c r="L22" s="8">
        <f t="shared" si="0"/>
        <v>10625.5812</v>
      </c>
      <c r="M22" s="8">
        <f t="shared" si="1"/>
        <v>10625.5812</v>
      </c>
      <c r="N22" s="8">
        <f t="shared" si="2"/>
        <v>10625.5812</v>
      </c>
      <c r="O22" s="8">
        <f t="shared" si="3"/>
        <v>10625.5812</v>
      </c>
      <c r="P22" s="8">
        <f>J22*K22*12</f>
        <v>42502.3248</v>
      </c>
      <c r="R22" s="12"/>
    </row>
    <row r="23" spans="1:16" ht="22.5">
      <c r="A23" s="48" t="s">
        <v>20</v>
      </c>
      <c r="B23" s="49"/>
      <c r="C23" s="49"/>
      <c r="D23" s="49"/>
      <c r="E23" s="49"/>
      <c r="F23" s="49"/>
      <c r="G23" s="49"/>
      <c r="H23" s="84"/>
      <c r="I23" s="4" t="s">
        <v>23</v>
      </c>
      <c r="J23" s="6">
        <v>0.9</v>
      </c>
      <c r="K23" s="6">
        <v>6811.27</v>
      </c>
      <c r="L23" s="8">
        <f t="shared" si="0"/>
        <v>18390.429000000004</v>
      </c>
      <c r="M23" s="8">
        <f t="shared" si="1"/>
        <v>18390.429000000004</v>
      </c>
      <c r="N23" s="8">
        <f t="shared" si="2"/>
        <v>18390.429000000004</v>
      </c>
      <c r="O23" s="8">
        <f t="shared" si="3"/>
        <v>18390.429000000004</v>
      </c>
      <c r="P23" s="8">
        <f>K23*J23*12</f>
        <v>73561.71600000001</v>
      </c>
    </row>
    <row r="24" spans="1:16" ht="22.5">
      <c r="A24" s="48" t="s">
        <v>21</v>
      </c>
      <c r="B24" s="49"/>
      <c r="C24" s="49"/>
      <c r="D24" s="49"/>
      <c r="E24" s="49"/>
      <c r="F24" s="49"/>
      <c r="G24" s="49"/>
      <c r="H24" s="84"/>
      <c r="I24" s="4" t="s">
        <v>23</v>
      </c>
      <c r="J24" s="6">
        <v>0.38</v>
      </c>
      <c r="K24" s="6">
        <v>6811.27</v>
      </c>
      <c r="L24" s="8">
        <f t="shared" si="0"/>
        <v>7764.8478</v>
      </c>
      <c r="M24" s="8">
        <f t="shared" si="1"/>
        <v>7764.8478</v>
      </c>
      <c r="N24" s="8">
        <f t="shared" si="2"/>
        <v>7764.8478</v>
      </c>
      <c r="O24" s="8">
        <f t="shared" si="3"/>
        <v>7764.8478</v>
      </c>
      <c r="P24" s="8">
        <f>K24*J24*12</f>
        <v>31059.3912</v>
      </c>
    </row>
    <row r="25" spans="1:16" ht="21.75" customHeight="1">
      <c r="A25" s="85" t="s">
        <v>39</v>
      </c>
      <c r="B25" s="86"/>
      <c r="C25" s="86"/>
      <c r="D25" s="86"/>
      <c r="E25" s="86"/>
      <c r="F25" s="86"/>
      <c r="G25" s="86"/>
      <c r="H25" s="87"/>
      <c r="I25" s="4" t="s">
        <v>23</v>
      </c>
      <c r="J25" s="6"/>
      <c r="K25" s="6"/>
      <c r="L25" s="6">
        <f t="shared" si="0"/>
        <v>7500</v>
      </c>
      <c r="M25" s="6">
        <f t="shared" si="1"/>
        <v>7500</v>
      </c>
      <c r="N25" s="6">
        <f t="shared" si="2"/>
        <v>7500</v>
      </c>
      <c r="O25" s="6">
        <f t="shared" si="3"/>
        <v>7500</v>
      </c>
      <c r="P25" s="6">
        <v>30000</v>
      </c>
    </row>
    <row r="26" spans="1:16" ht="22.5">
      <c r="A26" s="48" t="s">
        <v>40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0.95</v>
      </c>
      <c r="K26" s="6">
        <v>6811.27</v>
      </c>
      <c r="L26" s="8">
        <f t="shared" si="0"/>
        <v>19412.1195</v>
      </c>
      <c r="M26" s="8">
        <f t="shared" si="1"/>
        <v>19412.1195</v>
      </c>
      <c r="N26" s="8">
        <f t="shared" si="2"/>
        <v>19412.1195</v>
      </c>
      <c r="O26" s="8">
        <f t="shared" si="3"/>
        <v>19412.1195</v>
      </c>
      <c r="P26" s="8">
        <f>J26*K26*12</f>
        <v>77648.478</v>
      </c>
    </row>
    <row r="27" spans="1:16" ht="22.5" customHeight="1">
      <c r="A27" s="48" t="s">
        <v>41</v>
      </c>
      <c r="B27" s="49"/>
      <c r="C27" s="49"/>
      <c r="D27" s="49"/>
      <c r="E27" s="49"/>
      <c r="F27" s="49"/>
      <c r="G27" s="49"/>
      <c r="H27" s="84"/>
      <c r="I27" s="4" t="s">
        <v>23</v>
      </c>
      <c r="J27" s="6">
        <v>0.8</v>
      </c>
      <c r="K27" s="6">
        <v>6811.27</v>
      </c>
      <c r="L27" s="8">
        <f t="shared" si="0"/>
        <v>16347.048000000003</v>
      </c>
      <c r="M27" s="8">
        <f t="shared" si="1"/>
        <v>16347.048000000003</v>
      </c>
      <c r="N27" s="8">
        <f t="shared" si="2"/>
        <v>16347.048000000003</v>
      </c>
      <c r="O27" s="8">
        <f t="shared" si="3"/>
        <v>16347.048000000003</v>
      </c>
      <c r="P27" s="8">
        <f>J27*K27*12</f>
        <v>65388.19200000001</v>
      </c>
    </row>
    <row r="28" spans="1:16" ht="18" customHeight="1">
      <c r="A28" s="48" t="s">
        <v>47</v>
      </c>
      <c r="B28" s="49"/>
      <c r="C28" s="49"/>
      <c r="D28" s="49"/>
      <c r="E28" s="49"/>
      <c r="F28" s="49"/>
      <c r="G28" s="49"/>
      <c r="H28" s="17"/>
      <c r="I28" s="4" t="s">
        <v>24</v>
      </c>
      <c r="J28" s="6">
        <v>200</v>
      </c>
      <c r="K28" s="6">
        <v>3</v>
      </c>
      <c r="L28" s="6">
        <f t="shared" si="0"/>
        <v>1800</v>
      </c>
      <c r="M28" s="6">
        <f>L28</f>
        <v>1800</v>
      </c>
      <c r="N28" s="6">
        <f>L28</f>
        <v>1800</v>
      </c>
      <c r="O28" s="6">
        <f>L28</f>
        <v>1800</v>
      </c>
      <c r="P28" s="8">
        <f>J28*K28*12</f>
        <v>7200</v>
      </c>
    </row>
    <row r="29" spans="1:16" ht="24" customHeight="1">
      <c r="A29" s="85" t="s">
        <v>48</v>
      </c>
      <c r="B29" s="86"/>
      <c r="C29" s="86"/>
      <c r="D29" s="86"/>
      <c r="E29" s="86"/>
      <c r="F29" s="86"/>
      <c r="G29" s="86"/>
      <c r="H29" s="87"/>
      <c r="I29" s="5"/>
      <c r="J29" s="6"/>
      <c r="K29" s="2"/>
      <c r="L29" s="8">
        <f t="shared" si="0"/>
        <v>5420.25</v>
      </c>
      <c r="M29" s="8">
        <f>P29/4</f>
        <v>5420.25</v>
      </c>
      <c r="N29" s="8">
        <f>P29/4</f>
        <v>5420.25</v>
      </c>
      <c r="O29" s="8">
        <f>P29/4</f>
        <v>5420.25</v>
      </c>
      <c r="P29" s="8">
        <v>21681</v>
      </c>
    </row>
    <row r="30" spans="1:18" ht="15">
      <c r="A30" s="48" t="s">
        <v>49</v>
      </c>
      <c r="B30" s="49"/>
      <c r="C30" s="49"/>
      <c r="D30" s="49"/>
      <c r="E30" s="49"/>
      <c r="F30" s="49"/>
      <c r="G30" s="49"/>
      <c r="H30" s="84"/>
      <c r="I30" s="6" t="s">
        <v>25</v>
      </c>
      <c r="J30" s="6">
        <v>1</v>
      </c>
      <c r="K30" s="6">
        <v>980.4</v>
      </c>
      <c r="L30" s="6"/>
      <c r="M30" s="8">
        <f>P30/2</f>
        <v>490.2</v>
      </c>
      <c r="N30" s="6"/>
      <c r="O30" s="8">
        <v>490</v>
      </c>
      <c r="P30" s="8">
        <f>K30*J30</f>
        <v>980.4</v>
      </c>
      <c r="R30" s="12"/>
    </row>
    <row r="31" spans="1:16" ht="21" customHeight="1">
      <c r="A31" s="85" t="s">
        <v>131</v>
      </c>
      <c r="B31" s="86"/>
      <c r="C31" s="86"/>
      <c r="D31" s="86"/>
      <c r="E31" s="86"/>
      <c r="F31" s="86"/>
      <c r="G31" s="86"/>
      <c r="H31" s="87"/>
      <c r="I31" s="2"/>
      <c r="J31" s="6"/>
      <c r="K31" s="2"/>
      <c r="L31" s="8">
        <f>P31/4</f>
        <v>9907</v>
      </c>
      <c r="M31" s="8">
        <f>P31/4</f>
        <v>9907</v>
      </c>
      <c r="N31" s="8">
        <f>P31/4</f>
        <v>9907</v>
      </c>
      <c r="O31" s="8">
        <f>P31/4</f>
        <v>9907</v>
      </c>
      <c r="P31" s="8">
        <v>39628</v>
      </c>
    </row>
    <row r="32" spans="1:16" ht="13.5" customHeight="1">
      <c r="A32" s="85" t="s">
        <v>132</v>
      </c>
      <c r="B32" s="86"/>
      <c r="C32" s="86"/>
      <c r="D32" s="86"/>
      <c r="E32" s="86"/>
      <c r="F32" s="86"/>
      <c r="G32" s="86"/>
      <c r="H32" s="87"/>
      <c r="I32" s="6" t="s">
        <v>27</v>
      </c>
      <c r="J32" s="6">
        <v>3.94</v>
      </c>
      <c r="K32" s="6">
        <v>144</v>
      </c>
      <c r="L32" s="8">
        <f>J32*K32*3</f>
        <v>1702.08</v>
      </c>
      <c r="M32" s="8">
        <f>L32</f>
        <v>1702.08</v>
      </c>
      <c r="N32" s="8">
        <f>M32</f>
        <v>1702.08</v>
      </c>
      <c r="O32" s="8">
        <f>N32</f>
        <v>1702.08</v>
      </c>
      <c r="P32" s="8">
        <f>J32*K32*12</f>
        <v>6808.32</v>
      </c>
    </row>
    <row r="33" spans="1:17" ht="12.75" customHeight="1">
      <c r="A33" s="45" t="s">
        <v>28</v>
      </c>
      <c r="B33" s="46"/>
      <c r="C33" s="46"/>
      <c r="D33" s="46"/>
      <c r="E33" s="46"/>
      <c r="F33" s="46"/>
      <c r="G33" s="46"/>
      <c r="H33" s="47"/>
      <c r="I33" s="2"/>
      <c r="J33" s="6"/>
      <c r="K33" s="2"/>
      <c r="L33" s="14">
        <f>SUM(L21:L32)</f>
        <v>103869.35550000002</v>
      </c>
      <c r="M33" s="14">
        <f>SUM(M21:M32)</f>
        <v>104359.55550000002</v>
      </c>
      <c r="N33" s="14">
        <f>SUM(N21:N32)</f>
        <v>103869.35550000002</v>
      </c>
      <c r="O33" s="14">
        <f>SUM(O21:O32)</f>
        <v>104359.35550000002</v>
      </c>
      <c r="P33" s="14">
        <f>SUM(P21:P32)</f>
        <v>416457.8220000001</v>
      </c>
      <c r="Q33" s="15"/>
    </row>
    <row r="34" spans="1:16" ht="12" customHeight="1">
      <c r="A34" s="85" t="s">
        <v>123</v>
      </c>
      <c r="B34" s="86"/>
      <c r="C34" s="86"/>
      <c r="D34" s="86"/>
      <c r="E34" s="86"/>
      <c r="F34" s="86"/>
      <c r="G34" s="86"/>
      <c r="H34" s="87"/>
      <c r="I34" s="2"/>
      <c r="J34" s="6"/>
      <c r="K34" s="2"/>
      <c r="L34" s="13"/>
      <c r="M34" s="13"/>
      <c r="N34" s="13"/>
      <c r="O34" s="13"/>
      <c r="P34" s="8">
        <f>I14</f>
        <v>56789.644752</v>
      </c>
    </row>
    <row r="35" spans="1:16" ht="12" customHeight="1">
      <c r="A35" s="88" t="s">
        <v>29</v>
      </c>
      <c r="B35" s="89"/>
      <c r="C35" s="89"/>
      <c r="D35" s="89"/>
      <c r="E35" s="89"/>
      <c r="F35" s="89"/>
      <c r="G35" s="89"/>
      <c r="H35" s="90"/>
      <c r="I35" s="2"/>
      <c r="J35" s="6"/>
      <c r="K35" s="2"/>
      <c r="L35" s="13"/>
      <c r="M35" s="13"/>
      <c r="N35" s="13"/>
      <c r="O35" s="13"/>
      <c r="P35" s="14">
        <f>P33+P34</f>
        <v>473247.4667520001</v>
      </c>
    </row>
    <row r="36" spans="1:19" ht="12" customHeight="1">
      <c r="A36" s="48" t="s">
        <v>30</v>
      </c>
      <c r="B36" s="49"/>
      <c r="C36" s="49"/>
      <c r="D36" s="49"/>
      <c r="E36" s="49"/>
      <c r="F36" s="49"/>
      <c r="G36" s="49"/>
      <c r="H36" s="84"/>
      <c r="I36" s="2"/>
      <c r="J36" s="6"/>
      <c r="K36" s="2"/>
      <c r="L36" s="2"/>
      <c r="M36" s="2"/>
      <c r="N36" s="2"/>
      <c r="O36" s="2"/>
      <c r="P36" s="6">
        <v>0</v>
      </c>
      <c r="Q36" s="15"/>
      <c r="S36" s="15"/>
    </row>
  </sheetData>
  <mergeCells count="38">
    <mergeCell ref="A34:H34"/>
    <mergeCell ref="A35:H35"/>
    <mergeCell ref="A36:H36"/>
    <mergeCell ref="A31:H31"/>
    <mergeCell ref="A32:H32"/>
    <mergeCell ref="A33:H33"/>
    <mergeCell ref="A29:H29"/>
    <mergeCell ref="A30:H30"/>
    <mergeCell ref="A25:H25"/>
    <mergeCell ref="A26:H26"/>
    <mergeCell ref="A27:H27"/>
    <mergeCell ref="A28:G28"/>
    <mergeCell ref="A21:H21"/>
    <mergeCell ref="A22:H22"/>
    <mergeCell ref="A23:H23"/>
    <mergeCell ref="A24:H24"/>
    <mergeCell ref="K18:K19"/>
    <mergeCell ref="L18:O18"/>
    <mergeCell ref="P18:P19"/>
    <mergeCell ref="A20:H20"/>
    <mergeCell ref="A17:I17"/>
    <mergeCell ref="A18:H19"/>
    <mergeCell ref="I18:I19"/>
    <mergeCell ref="J18:J19"/>
    <mergeCell ref="A16:H16"/>
    <mergeCell ref="A12:H12"/>
    <mergeCell ref="A13:H13"/>
    <mergeCell ref="A14:H14"/>
    <mergeCell ref="A15:H15"/>
    <mergeCell ref="A11:H11"/>
    <mergeCell ref="A6:P6"/>
    <mergeCell ref="A7:P7"/>
    <mergeCell ref="A9:H9"/>
    <mergeCell ref="A10:H10"/>
    <mergeCell ref="A1:B1"/>
    <mergeCell ref="A3:B3"/>
    <mergeCell ref="L3:P3"/>
    <mergeCell ref="L4:P4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9">
      <selection activeCell="Q32" sqref="Q32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2.09765625" style="0" customWidth="1"/>
    <col min="7" max="7" width="1.1015625" style="0" customWidth="1"/>
    <col min="8" max="8" width="0.3046875" style="0" customWidth="1"/>
    <col min="9" max="9" width="8.09765625" style="0" customWidth="1"/>
    <col min="10" max="10" width="5.8984375" style="0" customWidth="1"/>
    <col min="11" max="11" width="7.296875" style="0" customWidth="1"/>
    <col min="12" max="12" width="6.59765625" style="0" customWidth="1"/>
    <col min="13" max="13" width="6.3984375" style="0" customWidth="1"/>
    <col min="14" max="14" width="7.09765625" style="0" customWidth="1"/>
    <col min="15" max="15" width="6.3984375" style="0" customWidth="1"/>
    <col min="16" max="16" width="7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3.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104</v>
      </c>
      <c r="B11" s="62"/>
      <c r="C11" s="62"/>
      <c r="D11" s="62"/>
      <c r="E11" s="62"/>
      <c r="F11" s="62"/>
      <c r="G11" s="62"/>
      <c r="H11" s="62"/>
      <c r="I11" s="8">
        <f>K26*I18*12</f>
        <v>43319.677200000006</v>
      </c>
    </row>
    <row r="12" spans="1:9" ht="23.25" customHeight="1">
      <c r="A12" s="62" t="s">
        <v>105</v>
      </c>
      <c r="B12" s="62"/>
      <c r="C12" s="62"/>
      <c r="D12" s="62"/>
      <c r="E12" s="62"/>
      <c r="F12" s="62"/>
      <c r="G12" s="62"/>
      <c r="H12" s="62"/>
      <c r="I12" s="8">
        <f>K26*I19*12</f>
        <v>237032.196</v>
      </c>
    </row>
    <row r="13" spans="1:9" ht="15" customHeight="1">
      <c r="A13" s="62" t="s">
        <v>106</v>
      </c>
      <c r="B13" s="62"/>
      <c r="C13" s="62"/>
      <c r="D13" s="62"/>
      <c r="E13" s="62"/>
      <c r="F13" s="62"/>
      <c r="G13" s="62"/>
      <c r="H13" s="62"/>
      <c r="I13" s="8">
        <f>K26*I20*12</f>
        <v>179000.17560000002</v>
      </c>
    </row>
    <row r="14" spans="1:9" ht="12.75" customHeight="1">
      <c r="A14" s="63" t="s">
        <v>43</v>
      </c>
      <c r="B14" s="64"/>
      <c r="C14" s="64"/>
      <c r="D14" s="64"/>
      <c r="E14" s="64"/>
      <c r="F14" s="64"/>
      <c r="G14" s="64"/>
      <c r="H14" s="65"/>
      <c r="I14" s="39"/>
    </row>
    <row r="15" spans="1:9" ht="12.75" customHeight="1">
      <c r="A15" s="66" t="s">
        <v>44</v>
      </c>
      <c r="B15" s="67"/>
      <c r="C15" s="67"/>
      <c r="D15" s="67"/>
      <c r="E15" s="67"/>
      <c r="F15" s="67"/>
      <c r="G15" s="67"/>
      <c r="H15" s="68"/>
      <c r="I15" s="39">
        <f>SUM(I11:I13)*12%</f>
        <v>55122.245856</v>
      </c>
    </row>
    <row r="16" spans="1:9" ht="13.5" customHeight="1">
      <c r="A16" s="69" t="s">
        <v>46</v>
      </c>
      <c r="B16" s="70"/>
      <c r="C16" s="70"/>
      <c r="D16" s="70"/>
      <c r="E16" s="70"/>
      <c r="F16" s="70"/>
      <c r="G16" s="70"/>
      <c r="H16" s="71"/>
      <c r="I16" s="33">
        <f>I15</f>
        <v>55122.245856</v>
      </c>
    </row>
    <row r="17" spans="1:9" ht="12" customHeight="1">
      <c r="A17" s="72" t="s">
        <v>4</v>
      </c>
      <c r="B17" s="72"/>
      <c r="C17" s="72"/>
      <c r="D17" s="72"/>
      <c r="E17" s="72"/>
      <c r="F17" s="72"/>
      <c r="G17" s="72"/>
      <c r="H17" s="72"/>
      <c r="I17" s="32">
        <f>SUM(I11:I13)-I16</f>
        <v>404229.80294400005</v>
      </c>
    </row>
    <row r="18" spans="1:9" ht="23.25" customHeight="1">
      <c r="A18" s="62" t="s">
        <v>101</v>
      </c>
      <c r="B18" s="62"/>
      <c r="C18" s="62"/>
      <c r="D18" s="62"/>
      <c r="E18" s="62"/>
      <c r="F18" s="62"/>
      <c r="G18" s="62"/>
      <c r="H18" s="62"/>
      <c r="I18" s="6">
        <v>0.53</v>
      </c>
    </row>
    <row r="19" spans="1:9" ht="21" customHeight="1">
      <c r="A19" s="62" t="s">
        <v>102</v>
      </c>
      <c r="B19" s="62"/>
      <c r="C19" s="62"/>
      <c r="D19" s="62"/>
      <c r="E19" s="62"/>
      <c r="F19" s="62"/>
      <c r="G19" s="62"/>
      <c r="H19" s="62"/>
      <c r="I19" s="6">
        <v>2.9</v>
      </c>
    </row>
    <row r="20" spans="1:9" ht="15" customHeight="1">
      <c r="A20" s="62" t="s">
        <v>103</v>
      </c>
      <c r="B20" s="62"/>
      <c r="C20" s="62"/>
      <c r="D20" s="62"/>
      <c r="E20" s="62"/>
      <c r="F20" s="62"/>
      <c r="G20" s="62"/>
      <c r="H20" s="62"/>
      <c r="I20" s="6">
        <v>2.19</v>
      </c>
    </row>
    <row r="21" spans="1:9" ht="1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16" ht="15" customHeight="1">
      <c r="A22" s="101" t="s">
        <v>7</v>
      </c>
      <c r="B22" s="101"/>
      <c r="C22" s="101"/>
      <c r="D22" s="101"/>
      <c r="E22" s="101"/>
      <c r="F22" s="101"/>
      <c r="G22" s="101"/>
      <c r="H22" s="101"/>
      <c r="I22" s="102" t="s">
        <v>8</v>
      </c>
      <c r="J22" s="102" t="s">
        <v>9</v>
      </c>
      <c r="K22" s="102" t="s">
        <v>10</v>
      </c>
      <c r="L22" s="99" t="s">
        <v>11</v>
      </c>
      <c r="M22" s="99"/>
      <c r="N22" s="99"/>
      <c r="O22" s="100"/>
      <c r="P22" s="101" t="s">
        <v>16</v>
      </c>
    </row>
    <row r="23" spans="1:16" ht="18.75" customHeight="1">
      <c r="A23" s="101"/>
      <c r="B23" s="101"/>
      <c r="C23" s="101"/>
      <c r="D23" s="101"/>
      <c r="E23" s="101"/>
      <c r="F23" s="101"/>
      <c r="G23" s="101"/>
      <c r="H23" s="101"/>
      <c r="I23" s="103"/>
      <c r="J23" s="103"/>
      <c r="K23" s="103"/>
      <c r="L23" s="6" t="s">
        <v>12</v>
      </c>
      <c r="M23" s="6" t="s">
        <v>13</v>
      </c>
      <c r="N23" s="6" t="s">
        <v>14</v>
      </c>
      <c r="O23" s="6" t="s">
        <v>15</v>
      </c>
      <c r="P23" s="101"/>
    </row>
    <row r="24" spans="1:16" ht="15">
      <c r="A24" s="45" t="s">
        <v>17</v>
      </c>
      <c r="B24" s="46"/>
      <c r="C24" s="46"/>
      <c r="D24" s="46"/>
      <c r="E24" s="46"/>
      <c r="F24" s="46"/>
      <c r="G24" s="46"/>
      <c r="H24" s="47"/>
      <c r="I24" s="5"/>
      <c r="J24" s="2"/>
      <c r="K24" s="2"/>
      <c r="L24" s="6"/>
      <c r="M24" s="6"/>
      <c r="N24" s="6"/>
      <c r="O24" s="6"/>
      <c r="P24" s="2"/>
    </row>
    <row r="25" spans="1:18" ht="13.5" customHeight="1">
      <c r="A25" s="45" t="s">
        <v>107</v>
      </c>
      <c r="B25" s="46"/>
      <c r="C25" s="46"/>
      <c r="D25" s="46"/>
      <c r="E25" s="46"/>
      <c r="F25" s="46"/>
      <c r="G25" s="46"/>
      <c r="H25" s="47"/>
      <c r="I25" s="6"/>
      <c r="J25" s="6"/>
      <c r="K25" s="6"/>
      <c r="L25" s="6"/>
      <c r="M25" s="8"/>
      <c r="N25" s="6"/>
      <c r="O25" s="8"/>
      <c r="P25" s="8"/>
      <c r="R25" s="12"/>
    </row>
    <row r="26" spans="1:18" ht="22.5">
      <c r="A26" s="48" t="s">
        <v>108</v>
      </c>
      <c r="B26" s="49"/>
      <c r="C26" s="49"/>
      <c r="D26" s="49"/>
      <c r="E26" s="49"/>
      <c r="F26" s="49"/>
      <c r="G26" s="49"/>
      <c r="H26" s="84"/>
      <c r="I26" s="4" t="s">
        <v>23</v>
      </c>
      <c r="J26" s="6">
        <v>0.48</v>
      </c>
      <c r="K26" s="6">
        <v>6811.27</v>
      </c>
      <c r="L26" s="8">
        <f>P26/4</f>
        <v>9808.2288</v>
      </c>
      <c r="M26" s="8">
        <f>P26/4</f>
        <v>9808.2288</v>
      </c>
      <c r="N26" s="8">
        <f>P26/4</f>
        <v>9808.2288</v>
      </c>
      <c r="O26" s="8">
        <f>P26/4</f>
        <v>9808.2288</v>
      </c>
      <c r="P26" s="8">
        <f>K26*J26*12</f>
        <v>39232.9152</v>
      </c>
      <c r="R26" s="12"/>
    </row>
    <row r="27" spans="1:18" ht="15">
      <c r="A27" s="45" t="s">
        <v>109</v>
      </c>
      <c r="B27" s="46"/>
      <c r="C27" s="46"/>
      <c r="D27" s="46"/>
      <c r="E27" s="46"/>
      <c r="F27" s="46"/>
      <c r="G27" s="46"/>
      <c r="H27" s="47"/>
      <c r="I27" s="6"/>
      <c r="J27" s="6"/>
      <c r="K27" s="6"/>
      <c r="L27" s="8"/>
      <c r="M27" s="8"/>
      <c r="N27" s="8"/>
      <c r="O27" s="8"/>
      <c r="P27" s="8"/>
      <c r="R27" s="12"/>
    </row>
    <row r="28" spans="1:18" ht="22.5">
      <c r="A28" s="48" t="s">
        <v>110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2.52</v>
      </c>
      <c r="K28" s="6">
        <v>6811.27</v>
      </c>
      <c r="L28" s="8">
        <f>P28/4</f>
        <v>51493.20120000001</v>
      </c>
      <c r="M28" s="8">
        <f>P28/4</f>
        <v>51493.20120000001</v>
      </c>
      <c r="N28" s="8">
        <f>P28/4</f>
        <v>51493.20120000001</v>
      </c>
      <c r="O28" s="8">
        <f>P28/4</f>
        <v>51493.20120000001</v>
      </c>
      <c r="P28" s="8">
        <f>K28*J28*12</f>
        <v>205972.80480000004</v>
      </c>
      <c r="R28" s="12"/>
    </row>
    <row r="29" spans="1:18" ht="12" customHeight="1">
      <c r="A29" s="45" t="s">
        <v>111</v>
      </c>
      <c r="B29" s="46"/>
      <c r="C29" s="46"/>
      <c r="D29" s="46"/>
      <c r="E29" s="46"/>
      <c r="F29" s="46"/>
      <c r="G29" s="46"/>
      <c r="H29" s="47"/>
      <c r="I29" s="4"/>
      <c r="J29" s="6"/>
      <c r="K29" s="6"/>
      <c r="L29" s="8"/>
      <c r="M29" s="8"/>
      <c r="N29" s="8"/>
      <c r="O29" s="8"/>
      <c r="P29" s="8"/>
      <c r="R29" s="12"/>
    </row>
    <row r="30" spans="1:18" ht="22.5">
      <c r="A30" s="48" t="s">
        <v>112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1.9</v>
      </c>
      <c r="K30" s="6">
        <v>6811.27</v>
      </c>
      <c r="L30" s="8">
        <f>P30/4</f>
        <v>38824.239</v>
      </c>
      <c r="M30" s="8">
        <f>P30/4</f>
        <v>38824.239</v>
      </c>
      <c r="N30" s="8">
        <f>P30/4</f>
        <v>38824.239</v>
      </c>
      <c r="O30" s="8">
        <f>P30/4</f>
        <v>38824.239</v>
      </c>
      <c r="P30" s="8">
        <f>K30*J30*12</f>
        <v>155296.956</v>
      </c>
      <c r="R30" s="12"/>
    </row>
    <row r="31" spans="1:17" ht="12.75" customHeight="1">
      <c r="A31" s="45" t="s">
        <v>28</v>
      </c>
      <c r="B31" s="46"/>
      <c r="C31" s="46"/>
      <c r="D31" s="46"/>
      <c r="E31" s="46"/>
      <c r="F31" s="46"/>
      <c r="G31" s="46"/>
      <c r="H31" s="47"/>
      <c r="I31" s="2"/>
      <c r="J31" s="6"/>
      <c r="K31" s="2"/>
      <c r="L31" s="14">
        <f>SUM(L25:L30)</f>
        <v>100125.66900000001</v>
      </c>
      <c r="M31" s="14">
        <f>SUM(M25:M30)</f>
        <v>100125.66900000001</v>
      </c>
      <c r="N31" s="14">
        <f>SUM(N25:N30)</f>
        <v>100125.66900000001</v>
      </c>
      <c r="O31" s="14">
        <f>SUM(O25:O30)</f>
        <v>100125.66900000001</v>
      </c>
      <c r="P31" s="14">
        <f>SUM(P25:P30)</f>
        <v>400502.67600000004</v>
      </c>
      <c r="Q31" s="15">
        <f>I17-P31</f>
        <v>3727.126944000018</v>
      </c>
    </row>
    <row r="32" spans="1:16" ht="12" customHeight="1">
      <c r="A32" s="85" t="s">
        <v>123</v>
      </c>
      <c r="B32" s="86"/>
      <c r="C32" s="86"/>
      <c r="D32" s="86"/>
      <c r="E32" s="86"/>
      <c r="F32" s="86"/>
      <c r="G32" s="86"/>
      <c r="H32" s="87"/>
      <c r="I32" s="2"/>
      <c r="J32" s="6"/>
      <c r="K32" s="2"/>
      <c r="L32" s="13"/>
      <c r="M32" s="13"/>
      <c r="N32" s="13"/>
      <c r="O32" s="13"/>
      <c r="P32" s="8">
        <f>I16</f>
        <v>55122.245856</v>
      </c>
    </row>
    <row r="33" spans="1:16" ht="12" customHeight="1">
      <c r="A33" s="88" t="s">
        <v>29</v>
      </c>
      <c r="B33" s="89"/>
      <c r="C33" s="89"/>
      <c r="D33" s="89"/>
      <c r="E33" s="89"/>
      <c r="F33" s="89"/>
      <c r="G33" s="89"/>
      <c r="H33" s="90"/>
      <c r="I33" s="2"/>
      <c r="J33" s="6"/>
      <c r="K33" s="2"/>
      <c r="L33" s="13"/>
      <c r="M33" s="13"/>
      <c r="N33" s="13"/>
      <c r="O33" s="13"/>
      <c r="P33" s="14">
        <f>P31+P32</f>
        <v>455624.92185600003</v>
      </c>
    </row>
    <row r="34" spans="1:19" ht="12" customHeight="1">
      <c r="A34" s="48" t="s">
        <v>30</v>
      </c>
      <c r="B34" s="49"/>
      <c r="C34" s="49"/>
      <c r="D34" s="49"/>
      <c r="E34" s="49"/>
      <c r="F34" s="49"/>
      <c r="G34" s="49"/>
      <c r="H34" s="84"/>
      <c r="I34" s="2"/>
      <c r="J34" s="6"/>
      <c r="K34" s="2"/>
      <c r="L34" s="2"/>
      <c r="M34" s="2"/>
      <c r="N34" s="2"/>
      <c r="O34" s="2"/>
      <c r="P34" s="6">
        <v>0</v>
      </c>
      <c r="Q34" s="15"/>
      <c r="S34" s="15"/>
    </row>
  </sheetData>
  <mergeCells count="36">
    <mergeCell ref="A32:H32"/>
    <mergeCell ref="A33:H33"/>
    <mergeCell ref="A34:H34"/>
    <mergeCell ref="A31:H31"/>
    <mergeCell ref="A27:H27"/>
    <mergeCell ref="A28:H28"/>
    <mergeCell ref="A29:H29"/>
    <mergeCell ref="A30:H30"/>
    <mergeCell ref="A25:H25"/>
    <mergeCell ref="A26:H26"/>
    <mergeCell ref="K22:K23"/>
    <mergeCell ref="L22:O22"/>
    <mergeCell ref="P22:P23"/>
    <mergeCell ref="A24:H24"/>
    <mergeCell ref="A21:I21"/>
    <mergeCell ref="A22:H23"/>
    <mergeCell ref="I22:I23"/>
    <mergeCell ref="J22:J23"/>
    <mergeCell ref="A18:H18"/>
    <mergeCell ref="A19:H19"/>
    <mergeCell ref="A20:H20"/>
    <mergeCell ref="A14:H14"/>
    <mergeCell ref="A15:H15"/>
    <mergeCell ref="A16:H16"/>
    <mergeCell ref="A17:H17"/>
    <mergeCell ref="A11:H11"/>
    <mergeCell ref="A12:H12"/>
    <mergeCell ref="A13:H13"/>
    <mergeCell ref="A6:P6"/>
    <mergeCell ref="A7:P7"/>
    <mergeCell ref="A9:H9"/>
    <mergeCell ref="A10:H10"/>
    <mergeCell ref="A1:B1"/>
    <mergeCell ref="A3:B3"/>
    <mergeCell ref="L3:P3"/>
    <mergeCell ref="L4:P4"/>
  </mergeCells>
  <printOptions horizontalCentered="1"/>
  <pageMargins left="0.5905511811023623" right="0" top="0.984251968503937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22">
      <selection activeCell="Q40" sqref="Q40"/>
    </sheetView>
  </sheetViews>
  <sheetFormatPr defaultColWidth="8.796875" defaultRowHeight="14.25"/>
  <cols>
    <col min="4" max="4" width="6.69921875" style="0" customWidth="1"/>
    <col min="5" max="5" width="3.296875" style="0" customWidth="1"/>
    <col min="6" max="6" width="2.09765625" style="0" customWidth="1"/>
    <col min="7" max="7" width="1.1015625" style="0" customWidth="1"/>
    <col min="8" max="8" width="0.3046875" style="0" customWidth="1"/>
    <col min="9" max="9" width="8.09765625" style="0" customWidth="1"/>
    <col min="10" max="10" width="5.8984375" style="0" customWidth="1"/>
    <col min="11" max="11" width="7.296875" style="0" customWidth="1"/>
    <col min="12" max="12" width="6.59765625" style="0" customWidth="1"/>
    <col min="13" max="13" width="6.3984375" style="0" customWidth="1"/>
    <col min="14" max="14" width="7.09765625" style="0" customWidth="1"/>
    <col min="15" max="15" width="6.3984375" style="0" customWidth="1"/>
    <col min="16" max="16" width="7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53.2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3.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K28*I19*12</f>
        <v>473247.0396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K28*I20*12</f>
        <v>43319.677200000006</v>
      </c>
    </row>
    <row r="13" spans="1:9" ht="23.25" customHeight="1">
      <c r="A13" s="62" t="s">
        <v>105</v>
      </c>
      <c r="B13" s="62"/>
      <c r="C13" s="62"/>
      <c r="D13" s="62"/>
      <c r="E13" s="62"/>
      <c r="F13" s="62"/>
      <c r="G13" s="62"/>
      <c r="H13" s="62"/>
      <c r="I13" s="8">
        <f>K33*I21*12</f>
        <v>237032.196</v>
      </c>
    </row>
    <row r="14" spans="1:9" ht="15" customHeight="1">
      <c r="A14" s="62" t="s">
        <v>106</v>
      </c>
      <c r="B14" s="62"/>
      <c r="C14" s="62"/>
      <c r="D14" s="62"/>
      <c r="E14" s="62"/>
      <c r="F14" s="62"/>
      <c r="G14" s="62"/>
      <c r="H14" s="62"/>
      <c r="I14" s="8">
        <f>K33*I22*12</f>
        <v>179000.17560000002</v>
      </c>
    </row>
    <row r="15" spans="1:9" ht="12.75" customHeight="1">
      <c r="A15" s="63" t="s">
        <v>43</v>
      </c>
      <c r="B15" s="64"/>
      <c r="C15" s="64"/>
      <c r="D15" s="64"/>
      <c r="E15" s="64"/>
      <c r="F15" s="64"/>
      <c r="G15" s="64"/>
      <c r="H15" s="65"/>
      <c r="I15" s="39"/>
    </row>
    <row r="16" spans="1:9" ht="12.75" customHeight="1">
      <c r="A16" s="66" t="s">
        <v>44</v>
      </c>
      <c r="B16" s="67"/>
      <c r="C16" s="67"/>
      <c r="D16" s="67"/>
      <c r="E16" s="67"/>
      <c r="F16" s="67"/>
      <c r="G16" s="67"/>
      <c r="H16" s="68"/>
      <c r="I16" s="39">
        <f>SUM(I11:I14)*12%</f>
        <v>111911.890608</v>
      </c>
    </row>
    <row r="17" spans="1:9" ht="13.5" customHeight="1">
      <c r="A17" s="69" t="s">
        <v>46</v>
      </c>
      <c r="B17" s="70"/>
      <c r="C17" s="70"/>
      <c r="D17" s="70"/>
      <c r="E17" s="70"/>
      <c r="F17" s="70"/>
      <c r="G17" s="70"/>
      <c r="H17" s="71"/>
      <c r="I17" s="33">
        <f>I16</f>
        <v>111911.890608</v>
      </c>
    </row>
    <row r="18" spans="1:9" ht="12" customHeight="1">
      <c r="A18" s="72" t="s">
        <v>4</v>
      </c>
      <c r="B18" s="72"/>
      <c r="C18" s="72"/>
      <c r="D18" s="72"/>
      <c r="E18" s="72"/>
      <c r="F18" s="72"/>
      <c r="G18" s="72"/>
      <c r="H18" s="72"/>
      <c r="I18" s="32">
        <f>SUM(I11:I14)-I17</f>
        <v>820687.197792</v>
      </c>
    </row>
    <row r="19" spans="1:9" ht="23.25" customHeight="1">
      <c r="A19" s="61" t="s">
        <v>5</v>
      </c>
      <c r="B19" s="61"/>
      <c r="C19" s="61"/>
      <c r="D19" s="61"/>
      <c r="E19" s="61"/>
      <c r="F19" s="61"/>
      <c r="G19" s="61"/>
      <c r="H19" s="61"/>
      <c r="I19" s="28">
        <v>5.79</v>
      </c>
    </row>
    <row r="20" spans="1:9" ht="23.25" customHeight="1">
      <c r="A20" s="62" t="s">
        <v>101</v>
      </c>
      <c r="B20" s="62"/>
      <c r="C20" s="62"/>
      <c r="D20" s="62"/>
      <c r="E20" s="62"/>
      <c r="F20" s="62"/>
      <c r="G20" s="62"/>
      <c r="H20" s="62"/>
      <c r="I20" s="6">
        <v>0.53</v>
      </c>
    </row>
    <row r="21" spans="1:9" ht="21" customHeight="1">
      <c r="A21" s="62" t="s">
        <v>102</v>
      </c>
      <c r="B21" s="62"/>
      <c r="C21" s="62"/>
      <c r="D21" s="62"/>
      <c r="E21" s="62"/>
      <c r="F21" s="62"/>
      <c r="G21" s="62"/>
      <c r="H21" s="62"/>
      <c r="I21" s="6">
        <v>2.9</v>
      </c>
    </row>
    <row r="22" spans="1:9" ht="15" customHeight="1">
      <c r="A22" s="62" t="s">
        <v>103</v>
      </c>
      <c r="B22" s="62"/>
      <c r="C22" s="62"/>
      <c r="D22" s="62"/>
      <c r="E22" s="62"/>
      <c r="F22" s="62"/>
      <c r="G22" s="62"/>
      <c r="H22" s="62"/>
      <c r="I22" s="6">
        <v>2.19</v>
      </c>
    </row>
    <row r="23" spans="1:9" ht="15">
      <c r="A23" s="123"/>
      <c r="B23" s="123"/>
      <c r="C23" s="123"/>
      <c r="D23" s="123"/>
      <c r="E23" s="123"/>
      <c r="F23" s="123"/>
      <c r="G23" s="123"/>
      <c r="H23" s="123"/>
      <c r="I23" s="123"/>
    </row>
    <row r="24" spans="1:16" ht="15" customHeight="1">
      <c r="A24" s="101" t="s">
        <v>7</v>
      </c>
      <c r="B24" s="101"/>
      <c r="C24" s="101"/>
      <c r="D24" s="101"/>
      <c r="E24" s="101"/>
      <c r="F24" s="101"/>
      <c r="G24" s="101"/>
      <c r="H24" s="101"/>
      <c r="I24" s="102" t="s">
        <v>8</v>
      </c>
      <c r="J24" s="102" t="s">
        <v>9</v>
      </c>
      <c r="K24" s="102" t="s">
        <v>10</v>
      </c>
      <c r="L24" s="99" t="s">
        <v>11</v>
      </c>
      <c r="M24" s="99"/>
      <c r="N24" s="99"/>
      <c r="O24" s="100"/>
      <c r="P24" s="101" t="s">
        <v>16</v>
      </c>
    </row>
    <row r="25" spans="1:16" ht="18.75" customHeight="1">
      <c r="A25" s="101"/>
      <c r="B25" s="101"/>
      <c r="C25" s="101"/>
      <c r="D25" s="101"/>
      <c r="E25" s="101"/>
      <c r="F25" s="101"/>
      <c r="G25" s="101"/>
      <c r="H25" s="101"/>
      <c r="I25" s="103"/>
      <c r="J25" s="103"/>
      <c r="K25" s="103"/>
      <c r="L25" s="6" t="s">
        <v>12</v>
      </c>
      <c r="M25" s="6" t="s">
        <v>13</v>
      </c>
      <c r="N25" s="6" t="s">
        <v>14</v>
      </c>
      <c r="O25" s="6" t="s">
        <v>15</v>
      </c>
      <c r="P25" s="101"/>
    </row>
    <row r="26" spans="1:16" ht="15">
      <c r="A26" s="45" t="s">
        <v>17</v>
      </c>
      <c r="B26" s="46"/>
      <c r="C26" s="46"/>
      <c r="D26" s="46"/>
      <c r="E26" s="46"/>
      <c r="F26" s="46"/>
      <c r="G26" s="46"/>
      <c r="H26" s="47"/>
      <c r="I26" s="5"/>
      <c r="J26" s="2"/>
      <c r="K26" s="2"/>
      <c r="L26" s="6"/>
      <c r="M26" s="6"/>
      <c r="N26" s="6"/>
      <c r="O26" s="6"/>
      <c r="P26" s="2"/>
    </row>
    <row r="27" spans="1:16" ht="15">
      <c r="A27" s="48" t="s">
        <v>18</v>
      </c>
      <c r="B27" s="49"/>
      <c r="C27" s="49"/>
      <c r="D27" s="49"/>
      <c r="E27" s="49"/>
      <c r="F27" s="49"/>
      <c r="G27" s="49"/>
      <c r="H27" s="84"/>
      <c r="I27" s="5"/>
      <c r="J27" s="2"/>
      <c r="K27" s="2"/>
      <c r="L27" s="6">
        <f aca="true" t="shared" si="0" ref="L27:L35">P27/4</f>
        <v>5000</v>
      </c>
      <c r="M27" s="6">
        <f aca="true" t="shared" si="1" ref="M27:M33">P27/4</f>
        <v>5000</v>
      </c>
      <c r="N27" s="6">
        <f aca="true" t="shared" si="2" ref="N27:N33">P27/4</f>
        <v>5000</v>
      </c>
      <c r="O27" s="6">
        <f aca="true" t="shared" si="3" ref="O27:O33">P27/4</f>
        <v>5000</v>
      </c>
      <c r="P27" s="8">
        <v>20000</v>
      </c>
    </row>
    <row r="28" spans="1:18" ht="22.5">
      <c r="A28" s="48" t="s">
        <v>19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0.52</v>
      </c>
      <c r="K28" s="6">
        <v>6811.27</v>
      </c>
      <c r="L28" s="8">
        <f t="shared" si="0"/>
        <v>10625.5812</v>
      </c>
      <c r="M28" s="8">
        <f t="shared" si="1"/>
        <v>10625.5812</v>
      </c>
      <c r="N28" s="8">
        <f t="shared" si="2"/>
        <v>10625.5812</v>
      </c>
      <c r="O28" s="8">
        <f t="shared" si="3"/>
        <v>10625.5812</v>
      </c>
      <c r="P28" s="8">
        <f>J28*K28*12</f>
        <v>42502.3248</v>
      </c>
      <c r="R28" s="12"/>
    </row>
    <row r="29" spans="1:16" ht="22.5">
      <c r="A29" s="48" t="s">
        <v>20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0.9</v>
      </c>
      <c r="K29" s="6">
        <v>6811.27</v>
      </c>
      <c r="L29" s="8">
        <f t="shared" si="0"/>
        <v>18390.429000000004</v>
      </c>
      <c r="M29" s="8">
        <f t="shared" si="1"/>
        <v>18390.429000000004</v>
      </c>
      <c r="N29" s="8">
        <f t="shared" si="2"/>
        <v>18390.429000000004</v>
      </c>
      <c r="O29" s="8">
        <f t="shared" si="3"/>
        <v>18390.429000000004</v>
      </c>
      <c r="P29" s="8">
        <f>K29*J29*12</f>
        <v>73561.71600000001</v>
      </c>
    </row>
    <row r="30" spans="1:16" ht="22.5">
      <c r="A30" s="48" t="s">
        <v>21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0.38</v>
      </c>
      <c r="K30" s="6">
        <v>6811.27</v>
      </c>
      <c r="L30" s="8">
        <f t="shared" si="0"/>
        <v>7764.8478</v>
      </c>
      <c r="M30" s="8">
        <f t="shared" si="1"/>
        <v>7764.8478</v>
      </c>
      <c r="N30" s="8">
        <f t="shared" si="2"/>
        <v>7764.8478</v>
      </c>
      <c r="O30" s="8">
        <f t="shared" si="3"/>
        <v>7764.8478</v>
      </c>
      <c r="P30" s="8">
        <f>K30*J30*12</f>
        <v>31059.3912</v>
      </c>
    </row>
    <row r="31" spans="1:16" ht="21.75" customHeight="1">
      <c r="A31" s="85" t="s">
        <v>39</v>
      </c>
      <c r="B31" s="86"/>
      <c r="C31" s="86"/>
      <c r="D31" s="86"/>
      <c r="E31" s="86"/>
      <c r="F31" s="86"/>
      <c r="G31" s="86"/>
      <c r="H31" s="87"/>
      <c r="I31" s="4" t="s">
        <v>23</v>
      </c>
      <c r="J31" s="6"/>
      <c r="K31" s="6"/>
      <c r="L31" s="6">
        <f t="shared" si="0"/>
        <v>7500</v>
      </c>
      <c r="M31" s="6">
        <f t="shared" si="1"/>
        <v>7500</v>
      </c>
      <c r="N31" s="6">
        <f t="shared" si="2"/>
        <v>7500</v>
      </c>
      <c r="O31" s="6">
        <f t="shared" si="3"/>
        <v>7500</v>
      </c>
      <c r="P31" s="6">
        <v>30000</v>
      </c>
    </row>
    <row r="32" spans="1:16" ht="22.5">
      <c r="A32" s="48" t="s">
        <v>40</v>
      </c>
      <c r="B32" s="49"/>
      <c r="C32" s="49"/>
      <c r="D32" s="49"/>
      <c r="E32" s="49"/>
      <c r="F32" s="49"/>
      <c r="G32" s="49"/>
      <c r="H32" s="84"/>
      <c r="I32" s="4" t="s">
        <v>23</v>
      </c>
      <c r="J32" s="6">
        <v>0.95</v>
      </c>
      <c r="K32" s="6">
        <v>6811.27</v>
      </c>
      <c r="L32" s="8">
        <f t="shared" si="0"/>
        <v>19412.1195</v>
      </c>
      <c r="M32" s="8">
        <f t="shared" si="1"/>
        <v>19412.1195</v>
      </c>
      <c r="N32" s="8">
        <f t="shared" si="2"/>
        <v>19412.1195</v>
      </c>
      <c r="O32" s="8">
        <f t="shared" si="3"/>
        <v>19412.1195</v>
      </c>
      <c r="P32" s="8">
        <f>J32*K32*12</f>
        <v>77648.478</v>
      </c>
    </row>
    <row r="33" spans="1:16" ht="22.5" customHeight="1">
      <c r="A33" s="48" t="s">
        <v>41</v>
      </c>
      <c r="B33" s="49"/>
      <c r="C33" s="49"/>
      <c r="D33" s="49"/>
      <c r="E33" s="49"/>
      <c r="F33" s="49"/>
      <c r="G33" s="49"/>
      <c r="H33" s="84"/>
      <c r="I33" s="4" t="s">
        <v>23</v>
      </c>
      <c r="J33" s="6">
        <v>0.8</v>
      </c>
      <c r="K33" s="6">
        <v>6811.27</v>
      </c>
      <c r="L33" s="8">
        <f t="shared" si="0"/>
        <v>16347.048000000003</v>
      </c>
      <c r="M33" s="8">
        <f t="shared" si="1"/>
        <v>16347.048000000003</v>
      </c>
      <c r="N33" s="8">
        <f t="shared" si="2"/>
        <v>16347.048000000003</v>
      </c>
      <c r="O33" s="8">
        <f t="shared" si="3"/>
        <v>16347.048000000003</v>
      </c>
      <c r="P33" s="8">
        <f>J33*K33*12</f>
        <v>65388.19200000001</v>
      </c>
    </row>
    <row r="34" spans="1:16" ht="18" customHeight="1">
      <c r="A34" s="48" t="s">
        <v>47</v>
      </c>
      <c r="B34" s="49"/>
      <c r="C34" s="49"/>
      <c r="D34" s="49"/>
      <c r="E34" s="49"/>
      <c r="F34" s="49"/>
      <c r="G34" s="49"/>
      <c r="H34" s="17"/>
      <c r="I34" s="4" t="s">
        <v>24</v>
      </c>
      <c r="J34" s="6">
        <v>200</v>
      </c>
      <c r="K34" s="6">
        <v>3</v>
      </c>
      <c r="L34" s="6">
        <f t="shared" si="0"/>
        <v>1800</v>
      </c>
      <c r="M34" s="6">
        <f>L34</f>
        <v>1800</v>
      </c>
      <c r="N34" s="6">
        <f>L34</f>
        <v>1800</v>
      </c>
      <c r="O34" s="6">
        <f>L34</f>
        <v>1800</v>
      </c>
      <c r="P34" s="8">
        <f>J34*K34*12</f>
        <v>7200</v>
      </c>
    </row>
    <row r="35" spans="1:16" ht="24" customHeight="1">
      <c r="A35" s="85" t="s">
        <v>48</v>
      </c>
      <c r="B35" s="86"/>
      <c r="C35" s="86"/>
      <c r="D35" s="86"/>
      <c r="E35" s="86"/>
      <c r="F35" s="86"/>
      <c r="G35" s="86"/>
      <c r="H35" s="87"/>
      <c r="I35" s="5"/>
      <c r="J35" s="6"/>
      <c r="K35" s="2"/>
      <c r="L35" s="8">
        <f t="shared" si="0"/>
        <v>6352</v>
      </c>
      <c r="M35" s="8">
        <f>P35/4</f>
        <v>6352</v>
      </c>
      <c r="N35" s="8">
        <f>P35/4</f>
        <v>6352</v>
      </c>
      <c r="O35" s="8">
        <f>P35/4</f>
        <v>6352</v>
      </c>
      <c r="P35" s="8">
        <v>25408</v>
      </c>
    </row>
    <row r="36" spans="1:18" ht="15">
      <c r="A36" s="48" t="s">
        <v>49</v>
      </c>
      <c r="B36" s="49"/>
      <c r="C36" s="49"/>
      <c r="D36" s="49"/>
      <c r="E36" s="49"/>
      <c r="F36" s="49"/>
      <c r="G36" s="49"/>
      <c r="H36" s="84"/>
      <c r="I36" s="6" t="s">
        <v>25</v>
      </c>
      <c r="J36" s="6">
        <v>1</v>
      </c>
      <c r="K36" s="6">
        <v>980.4</v>
      </c>
      <c r="L36" s="6"/>
      <c r="M36" s="8">
        <f>P36/2</f>
        <v>490.2</v>
      </c>
      <c r="N36" s="6"/>
      <c r="O36" s="8">
        <v>490</v>
      </c>
      <c r="P36" s="8">
        <f>K36*J36</f>
        <v>980.4</v>
      </c>
      <c r="R36" s="12"/>
    </row>
    <row r="37" spans="1:18" ht="13.5" customHeight="1">
      <c r="A37" s="45" t="s">
        <v>107</v>
      </c>
      <c r="B37" s="46"/>
      <c r="C37" s="46"/>
      <c r="D37" s="46"/>
      <c r="E37" s="46"/>
      <c r="F37" s="46"/>
      <c r="G37" s="46"/>
      <c r="H37" s="47"/>
      <c r="I37" s="6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108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0.48</v>
      </c>
      <c r="K38" s="6">
        <v>6811.27</v>
      </c>
      <c r="L38" s="8">
        <f>P38/4</f>
        <v>9808.2288</v>
      </c>
      <c r="M38" s="8">
        <f>P38/4</f>
        <v>9808.2288</v>
      </c>
      <c r="N38" s="8">
        <f>P38/4</f>
        <v>9808.2288</v>
      </c>
      <c r="O38" s="8">
        <f>P38/4</f>
        <v>9808.2288</v>
      </c>
      <c r="P38" s="8">
        <f>K38*J38*12</f>
        <v>39232.9152</v>
      </c>
      <c r="R38" s="12"/>
    </row>
    <row r="39" spans="1:18" ht="15">
      <c r="A39" s="45" t="s">
        <v>109</v>
      </c>
      <c r="B39" s="46"/>
      <c r="C39" s="46"/>
      <c r="D39" s="46"/>
      <c r="E39" s="46"/>
      <c r="F39" s="46"/>
      <c r="G39" s="46"/>
      <c r="H39" s="47"/>
      <c r="I39" s="6"/>
      <c r="J39" s="6"/>
      <c r="K39" s="6"/>
      <c r="L39" s="8"/>
      <c r="M39" s="8"/>
      <c r="N39" s="8"/>
      <c r="O39" s="8"/>
      <c r="P39" s="8"/>
      <c r="R39" s="12"/>
    </row>
    <row r="40" spans="1:18" ht="22.5">
      <c r="A40" s="48" t="s">
        <v>110</v>
      </c>
      <c r="B40" s="49"/>
      <c r="C40" s="49"/>
      <c r="D40" s="49"/>
      <c r="E40" s="49"/>
      <c r="F40" s="49"/>
      <c r="G40" s="49"/>
      <c r="H40" s="84"/>
      <c r="I40" s="4" t="s">
        <v>23</v>
      </c>
      <c r="J40" s="6">
        <v>2.52</v>
      </c>
      <c r="K40" s="6">
        <v>6811.27</v>
      </c>
      <c r="L40" s="8">
        <f>P40/4</f>
        <v>51493.20120000001</v>
      </c>
      <c r="M40" s="8">
        <f>P40/4</f>
        <v>51493.20120000001</v>
      </c>
      <c r="N40" s="8">
        <f>P40/4</f>
        <v>51493.20120000001</v>
      </c>
      <c r="O40" s="8">
        <f>P40/4</f>
        <v>51493.20120000001</v>
      </c>
      <c r="P40" s="8">
        <f>K40*J40*12</f>
        <v>205972.80480000004</v>
      </c>
      <c r="R40" s="12"/>
    </row>
    <row r="41" spans="1:18" ht="12" customHeight="1">
      <c r="A41" s="45" t="s">
        <v>111</v>
      </c>
      <c r="B41" s="46"/>
      <c r="C41" s="46"/>
      <c r="D41" s="46"/>
      <c r="E41" s="46"/>
      <c r="F41" s="46"/>
      <c r="G41" s="46"/>
      <c r="H41" s="47"/>
      <c r="I41" s="4"/>
      <c r="J41" s="6"/>
      <c r="K41" s="6"/>
      <c r="L41" s="8"/>
      <c r="M41" s="8"/>
      <c r="N41" s="8"/>
      <c r="O41" s="8"/>
      <c r="P41" s="8"/>
      <c r="R41" s="12"/>
    </row>
    <row r="42" spans="1:18" ht="22.5">
      <c r="A42" s="48" t="s">
        <v>112</v>
      </c>
      <c r="B42" s="49"/>
      <c r="C42" s="49"/>
      <c r="D42" s="49"/>
      <c r="E42" s="49"/>
      <c r="F42" s="49"/>
      <c r="G42" s="49"/>
      <c r="H42" s="84"/>
      <c r="I42" s="4" t="s">
        <v>23</v>
      </c>
      <c r="J42" s="6">
        <v>1.9</v>
      </c>
      <c r="K42" s="6">
        <v>6811.27</v>
      </c>
      <c r="L42" s="8">
        <f>P42/4</f>
        <v>38824.239</v>
      </c>
      <c r="M42" s="8">
        <f>P42/4</f>
        <v>38824.239</v>
      </c>
      <c r="N42" s="8">
        <f>P42/4</f>
        <v>38824.239</v>
      </c>
      <c r="O42" s="8">
        <f>P42/4</f>
        <v>38824.239</v>
      </c>
      <c r="P42" s="8">
        <f>K42*J42*12</f>
        <v>155296.956</v>
      </c>
      <c r="R42" s="12"/>
    </row>
    <row r="43" spans="1:16" ht="11.25" customHeight="1">
      <c r="A43" s="45" t="s">
        <v>113</v>
      </c>
      <c r="B43" s="46"/>
      <c r="C43" s="46"/>
      <c r="D43" s="46"/>
      <c r="E43" s="46"/>
      <c r="F43" s="46"/>
      <c r="G43" s="46"/>
      <c r="H43" s="47"/>
      <c r="I43" s="5"/>
      <c r="J43" s="6"/>
      <c r="K43" s="2"/>
      <c r="L43" s="2"/>
      <c r="M43" s="2"/>
      <c r="N43" s="2"/>
      <c r="O43" s="2"/>
      <c r="P43" s="6"/>
    </row>
    <row r="44" spans="1:16" ht="21" customHeight="1">
      <c r="A44" s="85" t="s">
        <v>114</v>
      </c>
      <c r="B44" s="86"/>
      <c r="C44" s="86"/>
      <c r="D44" s="86"/>
      <c r="E44" s="86"/>
      <c r="F44" s="86"/>
      <c r="G44" s="86"/>
      <c r="H44" s="87"/>
      <c r="I44" s="2"/>
      <c r="J44" s="6"/>
      <c r="K44" s="2"/>
      <c r="L44" s="8">
        <f>P44/4</f>
        <v>9907</v>
      </c>
      <c r="M44" s="8">
        <f>P44/4</f>
        <v>9907</v>
      </c>
      <c r="N44" s="8">
        <f>P44/4</f>
        <v>9907</v>
      </c>
      <c r="O44" s="8">
        <f>P44/4</f>
        <v>9907</v>
      </c>
      <c r="P44" s="8">
        <v>39628</v>
      </c>
    </row>
    <row r="45" spans="1:16" ht="13.5" customHeight="1">
      <c r="A45" s="85" t="s">
        <v>115</v>
      </c>
      <c r="B45" s="86"/>
      <c r="C45" s="86"/>
      <c r="D45" s="86"/>
      <c r="E45" s="86"/>
      <c r="F45" s="86"/>
      <c r="G45" s="86"/>
      <c r="H45" s="87"/>
      <c r="I45" s="6" t="s">
        <v>27</v>
      </c>
      <c r="J45" s="6">
        <v>3.94</v>
      </c>
      <c r="K45" s="6">
        <v>144</v>
      </c>
      <c r="L45" s="8">
        <f>J45*K45*3</f>
        <v>1702.08</v>
      </c>
      <c r="M45" s="8">
        <f>L45</f>
        <v>1702.08</v>
      </c>
      <c r="N45" s="8">
        <f>M45</f>
        <v>1702.08</v>
      </c>
      <c r="O45" s="8">
        <f>N45</f>
        <v>1702.08</v>
      </c>
      <c r="P45" s="8">
        <f>J45*K45*12</f>
        <v>6808.32</v>
      </c>
    </row>
    <row r="46" spans="1:17" ht="12.75" customHeight="1">
      <c r="A46" s="45" t="s">
        <v>28</v>
      </c>
      <c r="B46" s="46"/>
      <c r="C46" s="46"/>
      <c r="D46" s="46"/>
      <c r="E46" s="46"/>
      <c r="F46" s="46"/>
      <c r="G46" s="46"/>
      <c r="H46" s="47"/>
      <c r="I46" s="2"/>
      <c r="J46" s="6"/>
      <c r="K46" s="2"/>
      <c r="L46" s="14">
        <f>SUM(L27:L45)</f>
        <v>204926.77450000003</v>
      </c>
      <c r="M46" s="14">
        <f>SUM(M27:M45)</f>
        <v>205416.9745</v>
      </c>
      <c r="N46" s="14">
        <f>SUM(N27:N45)</f>
        <v>204926.77450000003</v>
      </c>
      <c r="O46" s="14">
        <f>SUM(O27:O45)</f>
        <v>205416.77450000003</v>
      </c>
      <c r="P46" s="14">
        <f>SUM(P27:P45)</f>
        <v>820687.498</v>
      </c>
      <c r="Q46" s="15"/>
    </row>
    <row r="47" spans="1:16" ht="12" customHeight="1">
      <c r="A47" s="85" t="s">
        <v>123</v>
      </c>
      <c r="B47" s="86"/>
      <c r="C47" s="86"/>
      <c r="D47" s="86"/>
      <c r="E47" s="86"/>
      <c r="F47" s="86"/>
      <c r="G47" s="86"/>
      <c r="H47" s="87"/>
      <c r="I47" s="2"/>
      <c r="J47" s="6"/>
      <c r="K47" s="2"/>
      <c r="L47" s="13"/>
      <c r="M47" s="13"/>
      <c r="N47" s="13"/>
      <c r="O47" s="13"/>
      <c r="P47" s="8">
        <f>I17</f>
        <v>111911.890608</v>
      </c>
    </row>
    <row r="48" spans="1:16" ht="12" customHeight="1">
      <c r="A48" s="88" t="s">
        <v>29</v>
      </c>
      <c r="B48" s="89"/>
      <c r="C48" s="89"/>
      <c r="D48" s="89"/>
      <c r="E48" s="89"/>
      <c r="F48" s="89"/>
      <c r="G48" s="89"/>
      <c r="H48" s="90"/>
      <c r="I48" s="2"/>
      <c r="J48" s="6"/>
      <c r="K48" s="2"/>
      <c r="L48" s="13"/>
      <c r="M48" s="13"/>
      <c r="N48" s="13"/>
      <c r="O48" s="13"/>
      <c r="P48" s="14">
        <f>P46+P47</f>
        <v>932599.388608</v>
      </c>
    </row>
    <row r="49" spans="1:19" ht="12" customHeight="1">
      <c r="A49" s="48" t="s">
        <v>30</v>
      </c>
      <c r="B49" s="49"/>
      <c r="C49" s="49"/>
      <c r="D49" s="49"/>
      <c r="E49" s="49"/>
      <c r="F49" s="49"/>
      <c r="G49" s="49"/>
      <c r="H49" s="84"/>
      <c r="I49" s="2"/>
      <c r="J49" s="6"/>
      <c r="K49" s="2"/>
      <c r="L49" s="2"/>
      <c r="M49" s="2"/>
      <c r="N49" s="2"/>
      <c r="O49" s="2"/>
      <c r="P49" s="6">
        <v>0</v>
      </c>
      <c r="Q49" s="15"/>
      <c r="S49" s="15"/>
    </row>
  </sheetData>
  <mergeCells count="51">
    <mergeCell ref="A1:B1"/>
    <mergeCell ref="A3:B3"/>
    <mergeCell ref="L3:P3"/>
    <mergeCell ref="L4:P4"/>
    <mergeCell ref="A6:P6"/>
    <mergeCell ref="A7:P7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1:H21"/>
    <mergeCell ref="A22:H22"/>
    <mergeCell ref="A19:H19"/>
    <mergeCell ref="A20:H20"/>
    <mergeCell ref="A23:I23"/>
    <mergeCell ref="A24:H25"/>
    <mergeCell ref="I24:I25"/>
    <mergeCell ref="J24:J25"/>
    <mergeCell ref="K24:K25"/>
    <mergeCell ref="L24:O24"/>
    <mergeCell ref="P24:P25"/>
    <mergeCell ref="A26:H26"/>
    <mergeCell ref="A27:H27"/>
    <mergeCell ref="A28:H28"/>
    <mergeCell ref="A29:H29"/>
    <mergeCell ref="A30:H30"/>
    <mergeCell ref="A31:H31"/>
    <mergeCell ref="A32:H32"/>
    <mergeCell ref="A33:H33"/>
    <mergeCell ref="A34:G34"/>
    <mergeCell ref="A35:H35"/>
    <mergeCell ref="A36:H36"/>
    <mergeCell ref="A43:H43"/>
    <mergeCell ref="A44:H44"/>
    <mergeCell ref="A37:H37"/>
    <mergeCell ref="A38:H38"/>
    <mergeCell ref="A39:H39"/>
    <mergeCell ref="A40:H40"/>
    <mergeCell ref="A41:H41"/>
    <mergeCell ref="A42:H42"/>
    <mergeCell ref="A49:H49"/>
    <mergeCell ref="A45:H45"/>
    <mergeCell ref="A46:H46"/>
    <mergeCell ref="A47:H47"/>
    <mergeCell ref="A48:H48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31">
      <selection activeCell="P44" sqref="P44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8" width="0.8984375" style="0" customWidth="1"/>
    <col min="9" max="9" width="7.8984375" style="0" customWidth="1"/>
    <col min="10" max="10" width="5.8984375" style="0" customWidth="1"/>
    <col min="11" max="11" width="6.699218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8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2.7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5.79*K28*12</f>
        <v>825992.1359999999</v>
      </c>
    </row>
    <row r="12" spans="1:9" ht="23.2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K28*I20*12</f>
        <v>75608.95200000002</v>
      </c>
    </row>
    <row r="13" spans="1:9" ht="23.25" customHeight="1">
      <c r="A13" s="62" t="s">
        <v>105</v>
      </c>
      <c r="B13" s="62"/>
      <c r="C13" s="62"/>
      <c r="D13" s="62"/>
      <c r="E13" s="62"/>
      <c r="F13" s="62"/>
      <c r="G13" s="62"/>
      <c r="H13" s="62"/>
      <c r="I13" s="8">
        <f>K28*I21*12</f>
        <v>413709.36</v>
      </c>
    </row>
    <row r="14" spans="1:9" ht="15" customHeight="1">
      <c r="A14" s="62" t="s">
        <v>106</v>
      </c>
      <c r="B14" s="62"/>
      <c r="C14" s="62"/>
      <c r="D14" s="62"/>
      <c r="E14" s="62"/>
      <c r="F14" s="62"/>
      <c r="G14" s="62"/>
      <c r="H14" s="62"/>
      <c r="I14" s="8">
        <f>K30*I22*12</f>
        <v>312421.896</v>
      </c>
    </row>
    <row r="15" spans="1:9" ht="12" customHeight="1">
      <c r="A15" s="63" t="s">
        <v>43</v>
      </c>
      <c r="B15" s="64"/>
      <c r="C15" s="64"/>
      <c r="D15" s="64"/>
      <c r="E15" s="64"/>
      <c r="F15" s="64"/>
      <c r="G15" s="64"/>
      <c r="H15" s="65"/>
      <c r="I15" s="39"/>
    </row>
    <row r="16" spans="1:9" ht="12" customHeight="1">
      <c r="A16" s="66" t="s">
        <v>44</v>
      </c>
      <c r="B16" s="67"/>
      <c r="C16" s="67"/>
      <c r="D16" s="67"/>
      <c r="E16" s="67"/>
      <c r="F16" s="67"/>
      <c r="G16" s="67"/>
      <c r="H16" s="68"/>
      <c r="I16" s="39">
        <f>SUM(I11:I14)*12%</f>
        <v>195327.88127999997</v>
      </c>
    </row>
    <row r="17" spans="1:9" ht="12" customHeight="1">
      <c r="A17" s="69" t="s">
        <v>46</v>
      </c>
      <c r="B17" s="70"/>
      <c r="C17" s="70"/>
      <c r="D17" s="70"/>
      <c r="E17" s="70"/>
      <c r="F17" s="70"/>
      <c r="G17" s="70"/>
      <c r="H17" s="71"/>
      <c r="I17" s="33">
        <f>I16</f>
        <v>195327.88127999997</v>
      </c>
    </row>
    <row r="18" spans="1:9" ht="11.25" customHeight="1">
      <c r="A18" s="72" t="s">
        <v>4</v>
      </c>
      <c r="B18" s="72"/>
      <c r="C18" s="72"/>
      <c r="D18" s="72"/>
      <c r="E18" s="72"/>
      <c r="F18" s="72"/>
      <c r="G18" s="72"/>
      <c r="H18" s="72"/>
      <c r="I18" s="32">
        <f>SUM(I11:I14)-I17</f>
        <v>1432404.4627199997</v>
      </c>
    </row>
    <row r="19" spans="1:9" ht="24" customHeight="1">
      <c r="A19" s="61" t="s">
        <v>5</v>
      </c>
      <c r="B19" s="61"/>
      <c r="C19" s="61"/>
      <c r="D19" s="61"/>
      <c r="E19" s="61"/>
      <c r="F19" s="61"/>
      <c r="G19" s="61"/>
      <c r="H19" s="61"/>
      <c r="I19" s="28">
        <v>5.79</v>
      </c>
    </row>
    <row r="20" spans="1:9" ht="21.75" customHeight="1">
      <c r="A20" s="62" t="s">
        <v>101</v>
      </c>
      <c r="B20" s="62"/>
      <c r="C20" s="62"/>
      <c r="D20" s="62"/>
      <c r="E20" s="62"/>
      <c r="F20" s="62"/>
      <c r="G20" s="62"/>
      <c r="H20" s="62"/>
      <c r="I20" s="6">
        <v>0.53</v>
      </c>
    </row>
    <row r="21" spans="1:9" ht="21.75" customHeight="1">
      <c r="A21" s="62" t="s">
        <v>102</v>
      </c>
      <c r="B21" s="62"/>
      <c r="C21" s="62"/>
      <c r="D21" s="62"/>
      <c r="E21" s="62"/>
      <c r="F21" s="62"/>
      <c r="G21" s="62"/>
      <c r="H21" s="62"/>
      <c r="I21" s="6">
        <v>2.9</v>
      </c>
    </row>
    <row r="22" spans="1:9" ht="15.75" customHeight="1">
      <c r="A22" s="62" t="s">
        <v>103</v>
      </c>
      <c r="B22" s="62"/>
      <c r="C22" s="62"/>
      <c r="D22" s="62"/>
      <c r="E22" s="62"/>
      <c r="F22" s="62"/>
      <c r="G22" s="62"/>
      <c r="H22" s="62"/>
      <c r="I22" s="6">
        <v>2.19</v>
      </c>
    </row>
    <row r="23" spans="1:9" ht="15">
      <c r="A23" s="123"/>
      <c r="B23" s="123"/>
      <c r="C23" s="123"/>
      <c r="D23" s="123"/>
      <c r="E23" s="123"/>
      <c r="F23" s="123"/>
      <c r="G23" s="123"/>
      <c r="H23" s="123"/>
      <c r="I23" s="123"/>
    </row>
    <row r="24" spans="1:16" ht="15" customHeight="1">
      <c r="A24" s="101" t="s">
        <v>7</v>
      </c>
      <c r="B24" s="101"/>
      <c r="C24" s="101"/>
      <c r="D24" s="101"/>
      <c r="E24" s="101"/>
      <c r="F24" s="101"/>
      <c r="G24" s="101"/>
      <c r="H24" s="101"/>
      <c r="I24" s="102" t="s">
        <v>8</v>
      </c>
      <c r="J24" s="102" t="s">
        <v>9</v>
      </c>
      <c r="K24" s="102" t="s">
        <v>10</v>
      </c>
      <c r="L24" s="99" t="s">
        <v>11</v>
      </c>
      <c r="M24" s="99"/>
      <c r="N24" s="99"/>
      <c r="O24" s="100"/>
      <c r="P24" s="101" t="s">
        <v>16</v>
      </c>
    </row>
    <row r="25" spans="1:16" ht="18.75" customHeight="1">
      <c r="A25" s="101"/>
      <c r="B25" s="101"/>
      <c r="C25" s="101"/>
      <c r="D25" s="101"/>
      <c r="E25" s="101"/>
      <c r="F25" s="101"/>
      <c r="G25" s="101"/>
      <c r="H25" s="101"/>
      <c r="I25" s="103"/>
      <c r="J25" s="103"/>
      <c r="K25" s="103"/>
      <c r="L25" s="6" t="s">
        <v>12</v>
      </c>
      <c r="M25" s="6" t="s">
        <v>13</v>
      </c>
      <c r="N25" s="6" t="s">
        <v>14</v>
      </c>
      <c r="O25" s="6" t="s">
        <v>15</v>
      </c>
      <c r="P25" s="101"/>
    </row>
    <row r="26" spans="1:16" ht="15">
      <c r="A26" s="45" t="s">
        <v>17</v>
      </c>
      <c r="B26" s="46"/>
      <c r="C26" s="46"/>
      <c r="D26" s="46"/>
      <c r="E26" s="46"/>
      <c r="F26" s="46"/>
      <c r="G26" s="46"/>
      <c r="H26" s="47"/>
      <c r="I26" s="5"/>
      <c r="J26" s="2"/>
      <c r="K26" s="2"/>
      <c r="L26" s="6"/>
      <c r="M26" s="6"/>
      <c r="N26" s="6"/>
      <c r="O26" s="6"/>
      <c r="P26" s="2"/>
    </row>
    <row r="27" spans="1:16" ht="13.5" customHeight="1">
      <c r="A27" s="48" t="s">
        <v>18</v>
      </c>
      <c r="B27" s="49"/>
      <c r="C27" s="49"/>
      <c r="D27" s="49"/>
      <c r="E27" s="49"/>
      <c r="F27" s="49"/>
      <c r="G27" s="49"/>
      <c r="H27" s="84"/>
      <c r="I27" s="5"/>
      <c r="J27" s="2"/>
      <c r="K27" s="2"/>
      <c r="L27" s="6">
        <f aca="true" t="shared" si="0" ref="L27:L35">P27/4</f>
        <v>10000</v>
      </c>
      <c r="M27" s="6">
        <f aca="true" t="shared" si="1" ref="M27:M33">P27/4</f>
        <v>10000</v>
      </c>
      <c r="N27" s="6">
        <f aca="true" t="shared" si="2" ref="N27:N33">P27/4</f>
        <v>10000</v>
      </c>
      <c r="O27" s="6">
        <f aca="true" t="shared" si="3" ref="O27:O33">P27/4</f>
        <v>10000</v>
      </c>
      <c r="P27" s="8">
        <v>40000</v>
      </c>
    </row>
    <row r="28" spans="1:18" ht="22.5">
      <c r="A28" s="48" t="s">
        <v>19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0.52</v>
      </c>
      <c r="K28" s="6">
        <v>11888.2</v>
      </c>
      <c r="L28" s="8">
        <f t="shared" si="0"/>
        <v>18545.592</v>
      </c>
      <c r="M28" s="8">
        <f t="shared" si="1"/>
        <v>18545.592</v>
      </c>
      <c r="N28" s="8">
        <f t="shared" si="2"/>
        <v>18545.592</v>
      </c>
      <c r="O28" s="8">
        <f t="shared" si="3"/>
        <v>18545.592</v>
      </c>
      <c r="P28" s="8">
        <f>J28*K28*12</f>
        <v>74182.368</v>
      </c>
      <c r="R28" s="12"/>
    </row>
    <row r="29" spans="1:16" ht="22.5">
      <c r="A29" s="48" t="s">
        <v>20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0.9</v>
      </c>
      <c r="K29" s="6">
        <v>11888.2</v>
      </c>
      <c r="L29" s="8">
        <f t="shared" si="0"/>
        <v>32098.140000000003</v>
      </c>
      <c r="M29" s="8">
        <f t="shared" si="1"/>
        <v>32098.140000000003</v>
      </c>
      <c r="N29" s="8">
        <f t="shared" si="2"/>
        <v>32098.140000000003</v>
      </c>
      <c r="O29" s="8">
        <f t="shared" si="3"/>
        <v>32098.140000000003</v>
      </c>
      <c r="P29" s="8">
        <f>K29*J29*12</f>
        <v>128392.56000000001</v>
      </c>
    </row>
    <row r="30" spans="1:16" ht="22.5">
      <c r="A30" s="48" t="s">
        <v>21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0.38</v>
      </c>
      <c r="K30" s="6">
        <v>11888.2</v>
      </c>
      <c r="L30" s="8">
        <f t="shared" si="0"/>
        <v>13552.548000000003</v>
      </c>
      <c r="M30" s="8">
        <f t="shared" si="1"/>
        <v>13552.548000000003</v>
      </c>
      <c r="N30" s="8">
        <f t="shared" si="2"/>
        <v>13552.548000000003</v>
      </c>
      <c r="O30" s="8">
        <f t="shared" si="3"/>
        <v>13552.548000000003</v>
      </c>
      <c r="P30" s="8">
        <f>K30*J30*12</f>
        <v>54210.19200000001</v>
      </c>
    </row>
    <row r="31" spans="1:16" ht="21.75" customHeight="1">
      <c r="A31" s="85" t="s">
        <v>39</v>
      </c>
      <c r="B31" s="86"/>
      <c r="C31" s="86"/>
      <c r="D31" s="86"/>
      <c r="E31" s="86"/>
      <c r="F31" s="86"/>
      <c r="G31" s="86"/>
      <c r="H31" s="87"/>
      <c r="I31" s="4" t="s">
        <v>23</v>
      </c>
      <c r="J31" s="6"/>
      <c r="K31" s="6"/>
      <c r="L31" s="6">
        <f t="shared" si="0"/>
        <v>11500</v>
      </c>
      <c r="M31" s="6">
        <f t="shared" si="1"/>
        <v>11500</v>
      </c>
      <c r="N31" s="6">
        <f t="shared" si="2"/>
        <v>11500</v>
      </c>
      <c r="O31" s="6">
        <f t="shared" si="3"/>
        <v>11500</v>
      </c>
      <c r="P31" s="6">
        <v>46000</v>
      </c>
    </row>
    <row r="32" spans="1:16" ht="22.5">
      <c r="A32" s="48" t="s">
        <v>40</v>
      </c>
      <c r="B32" s="49"/>
      <c r="C32" s="49"/>
      <c r="D32" s="49"/>
      <c r="E32" s="49"/>
      <c r="F32" s="49"/>
      <c r="G32" s="49"/>
      <c r="H32" s="84"/>
      <c r="I32" s="4" t="s">
        <v>23</v>
      </c>
      <c r="J32" s="6">
        <v>0.95</v>
      </c>
      <c r="K32" s="6">
        <v>11888.2</v>
      </c>
      <c r="L32" s="8">
        <f t="shared" si="0"/>
        <v>33881.37</v>
      </c>
      <c r="M32" s="8">
        <f t="shared" si="1"/>
        <v>33881.37</v>
      </c>
      <c r="N32" s="8">
        <f t="shared" si="2"/>
        <v>33881.37</v>
      </c>
      <c r="O32" s="8">
        <f t="shared" si="3"/>
        <v>33881.37</v>
      </c>
      <c r="P32" s="8">
        <f>J32*K32*12</f>
        <v>135525.48</v>
      </c>
    </row>
    <row r="33" spans="1:16" ht="22.5" customHeight="1">
      <c r="A33" s="48" t="s">
        <v>41</v>
      </c>
      <c r="B33" s="49"/>
      <c r="C33" s="49"/>
      <c r="D33" s="49"/>
      <c r="E33" s="49"/>
      <c r="F33" s="49"/>
      <c r="G33" s="49"/>
      <c r="H33" s="84"/>
      <c r="I33" s="4" t="s">
        <v>23</v>
      </c>
      <c r="J33" s="6">
        <v>0.8</v>
      </c>
      <c r="K33" s="6">
        <v>11888.2</v>
      </c>
      <c r="L33" s="8">
        <f t="shared" si="0"/>
        <v>28531.680000000004</v>
      </c>
      <c r="M33" s="8">
        <f t="shared" si="1"/>
        <v>28531.680000000004</v>
      </c>
      <c r="N33" s="8">
        <f t="shared" si="2"/>
        <v>28531.680000000004</v>
      </c>
      <c r="O33" s="8">
        <f t="shared" si="3"/>
        <v>28531.680000000004</v>
      </c>
      <c r="P33" s="8">
        <f>K33*0.8*12</f>
        <v>114126.72000000002</v>
      </c>
    </row>
    <row r="34" spans="1:16" ht="15.75" customHeight="1">
      <c r="A34" s="48" t="s">
        <v>47</v>
      </c>
      <c r="B34" s="49"/>
      <c r="C34" s="49"/>
      <c r="D34" s="49"/>
      <c r="E34" s="49"/>
      <c r="F34" s="49"/>
      <c r="G34" s="49"/>
      <c r="H34" s="17"/>
      <c r="I34" s="4" t="s">
        <v>24</v>
      </c>
      <c r="J34" s="6">
        <v>200</v>
      </c>
      <c r="K34" s="6">
        <v>5</v>
      </c>
      <c r="L34" s="6">
        <f t="shared" si="0"/>
        <v>3000</v>
      </c>
      <c r="M34" s="6">
        <f>L34</f>
        <v>3000</v>
      </c>
      <c r="N34" s="6">
        <f>L34</f>
        <v>3000</v>
      </c>
      <c r="O34" s="6">
        <f>L34</f>
        <v>3000</v>
      </c>
      <c r="P34" s="8">
        <f>J34*K34*12</f>
        <v>12000</v>
      </c>
    </row>
    <row r="35" spans="1:16" ht="24" customHeight="1">
      <c r="A35" s="85" t="s">
        <v>48</v>
      </c>
      <c r="B35" s="86"/>
      <c r="C35" s="86"/>
      <c r="D35" s="86"/>
      <c r="E35" s="86"/>
      <c r="F35" s="86"/>
      <c r="G35" s="86"/>
      <c r="H35" s="87"/>
      <c r="I35" s="5"/>
      <c r="J35" s="6"/>
      <c r="K35" s="2"/>
      <c r="L35" s="20">
        <f t="shared" si="0"/>
        <v>12348.75</v>
      </c>
      <c r="M35" s="8">
        <f>P35/4</f>
        <v>12348.75</v>
      </c>
      <c r="N35" s="8">
        <f>P35/4</f>
        <v>12348.75</v>
      </c>
      <c r="O35" s="6">
        <f>P35/4</f>
        <v>12348.75</v>
      </c>
      <c r="P35" s="8">
        <v>49395</v>
      </c>
    </row>
    <row r="36" spans="1:18" ht="15">
      <c r="A36" s="48" t="s">
        <v>49</v>
      </c>
      <c r="B36" s="49"/>
      <c r="C36" s="49"/>
      <c r="D36" s="49"/>
      <c r="E36" s="49"/>
      <c r="F36" s="49"/>
      <c r="G36" s="49"/>
      <c r="H36" s="84"/>
      <c r="I36" s="6" t="s">
        <v>25</v>
      </c>
      <c r="J36" s="6">
        <v>1</v>
      </c>
      <c r="K36" s="6">
        <v>1424.5</v>
      </c>
      <c r="L36" s="6"/>
      <c r="M36" s="8">
        <f>P36/2</f>
        <v>712.25</v>
      </c>
      <c r="N36" s="6"/>
      <c r="O36" s="8">
        <v>712.5</v>
      </c>
      <c r="P36" s="8">
        <f>K36*J36</f>
        <v>1424.5</v>
      </c>
      <c r="R36" s="12"/>
    </row>
    <row r="37" spans="1:18" ht="15">
      <c r="A37" s="45" t="s">
        <v>107</v>
      </c>
      <c r="B37" s="46"/>
      <c r="C37" s="46"/>
      <c r="D37" s="46"/>
      <c r="E37" s="46"/>
      <c r="F37" s="46"/>
      <c r="G37" s="46"/>
      <c r="H37" s="47"/>
      <c r="I37" s="6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108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0.48</v>
      </c>
      <c r="K38" s="6">
        <v>11888.2</v>
      </c>
      <c r="L38" s="6">
        <f>P38/4</f>
        <v>17119.008</v>
      </c>
      <c r="M38" s="8">
        <f>P38/4</f>
        <v>17119.008</v>
      </c>
      <c r="N38" s="6">
        <f>P38/4</f>
        <v>17119.008</v>
      </c>
      <c r="O38" s="8">
        <f>P38/4</f>
        <v>17119.008</v>
      </c>
      <c r="P38" s="8">
        <f>K38*J38*12</f>
        <v>68476.032</v>
      </c>
      <c r="R38" s="12"/>
    </row>
    <row r="39" spans="1:18" ht="12" customHeight="1">
      <c r="A39" s="45" t="s">
        <v>109</v>
      </c>
      <c r="B39" s="46"/>
      <c r="C39" s="46"/>
      <c r="D39" s="46"/>
      <c r="E39" s="46"/>
      <c r="F39" s="46"/>
      <c r="G39" s="46"/>
      <c r="H39" s="47"/>
      <c r="I39" s="6"/>
      <c r="J39" s="6"/>
      <c r="K39" s="6"/>
      <c r="L39" s="6"/>
      <c r="M39" s="8"/>
      <c r="N39" s="6"/>
      <c r="O39" s="8"/>
      <c r="P39" s="8"/>
      <c r="R39" s="12"/>
    </row>
    <row r="40" spans="1:18" ht="22.5">
      <c r="A40" s="48" t="s">
        <v>110</v>
      </c>
      <c r="B40" s="49"/>
      <c r="C40" s="49"/>
      <c r="D40" s="49"/>
      <c r="E40" s="49"/>
      <c r="F40" s="49"/>
      <c r="G40" s="49"/>
      <c r="H40" s="84"/>
      <c r="I40" s="4" t="s">
        <v>23</v>
      </c>
      <c r="J40" s="6">
        <v>2.52</v>
      </c>
      <c r="K40" s="6">
        <v>11888.2</v>
      </c>
      <c r="L40" s="6">
        <f>P40/4</f>
        <v>89874.79200000002</v>
      </c>
      <c r="M40" s="8">
        <f>P40/4</f>
        <v>89874.79200000002</v>
      </c>
      <c r="N40" s="8">
        <f>P40/4</f>
        <v>89874.79200000002</v>
      </c>
      <c r="O40" s="8">
        <f>P40/4</f>
        <v>89874.79200000002</v>
      </c>
      <c r="P40" s="8">
        <f>K40*J40*12</f>
        <v>359499.16800000006</v>
      </c>
      <c r="R40" s="12"/>
    </row>
    <row r="41" spans="1:18" ht="12" customHeight="1">
      <c r="A41" s="45" t="s">
        <v>111</v>
      </c>
      <c r="B41" s="46"/>
      <c r="C41" s="46"/>
      <c r="D41" s="46"/>
      <c r="E41" s="46"/>
      <c r="F41" s="46"/>
      <c r="G41" s="46"/>
      <c r="H41" s="47"/>
      <c r="I41" s="4"/>
      <c r="J41" s="6"/>
      <c r="K41" s="6"/>
      <c r="L41" s="6"/>
      <c r="M41" s="8"/>
      <c r="N41" s="6"/>
      <c r="O41" s="8"/>
      <c r="P41" s="8"/>
      <c r="R41" s="12"/>
    </row>
    <row r="42" spans="1:18" ht="22.5">
      <c r="A42" s="48" t="s">
        <v>112</v>
      </c>
      <c r="B42" s="49"/>
      <c r="C42" s="49"/>
      <c r="D42" s="49"/>
      <c r="E42" s="49"/>
      <c r="F42" s="49"/>
      <c r="G42" s="49"/>
      <c r="H42" s="84"/>
      <c r="I42" s="4" t="s">
        <v>23</v>
      </c>
      <c r="J42" s="6">
        <v>1.9</v>
      </c>
      <c r="K42" s="6">
        <v>11888.2</v>
      </c>
      <c r="L42" s="6">
        <f>P42/4</f>
        <v>67762.74</v>
      </c>
      <c r="M42" s="8">
        <f>P42/4</f>
        <v>67762.74</v>
      </c>
      <c r="N42" s="8">
        <f>P42/4</f>
        <v>67762.74</v>
      </c>
      <c r="O42" s="8">
        <f>P42/4</f>
        <v>67762.74</v>
      </c>
      <c r="P42" s="8">
        <f>K42*J42*12</f>
        <v>271050.96</v>
      </c>
      <c r="R42" s="12"/>
    </row>
    <row r="43" spans="1:16" ht="12" customHeight="1">
      <c r="A43" s="45" t="s">
        <v>113</v>
      </c>
      <c r="B43" s="46"/>
      <c r="C43" s="46"/>
      <c r="D43" s="46"/>
      <c r="E43" s="46"/>
      <c r="F43" s="46"/>
      <c r="G43" s="46"/>
      <c r="H43" s="47"/>
      <c r="I43" s="5"/>
      <c r="J43" s="6"/>
      <c r="K43" s="2"/>
      <c r="L43" s="2"/>
      <c r="M43" s="2"/>
      <c r="N43" s="2"/>
      <c r="O43" s="2"/>
      <c r="P43" s="6"/>
    </row>
    <row r="44" spans="1:16" ht="21" customHeight="1">
      <c r="A44" s="85" t="s">
        <v>114</v>
      </c>
      <c r="B44" s="86"/>
      <c r="C44" s="86"/>
      <c r="D44" s="86"/>
      <c r="E44" s="86"/>
      <c r="F44" s="86"/>
      <c r="G44" s="86"/>
      <c r="H44" s="87"/>
      <c r="I44" s="2"/>
      <c r="J44" s="6"/>
      <c r="K44" s="2"/>
      <c r="L44" s="6">
        <f>P44/4</f>
        <v>17119</v>
      </c>
      <c r="M44" s="6">
        <f>P44/4</f>
        <v>17119</v>
      </c>
      <c r="N44" s="6">
        <f>P44/4</f>
        <v>17119</v>
      </c>
      <c r="O44" s="6">
        <f>P44/4</f>
        <v>17119</v>
      </c>
      <c r="P44" s="6">
        <v>68476</v>
      </c>
    </row>
    <row r="45" spans="1:16" ht="15" customHeight="1">
      <c r="A45" s="85" t="s">
        <v>115</v>
      </c>
      <c r="B45" s="86"/>
      <c r="C45" s="86"/>
      <c r="D45" s="86"/>
      <c r="E45" s="86"/>
      <c r="F45" s="86"/>
      <c r="G45" s="86"/>
      <c r="H45" s="87"/>
      <c r="I45" s="6" t="s">
        <v>27</v>
      </c>
      <c r="J45" s="6">
        <v>3.94</v>
      </c>
      <c r="K45" s="6">
        <v>204</v>
      </c>
      <c r="L45" s="8">
        <f>J45*K45*3</f>
        <v>2411.2799999999997</v>
      </c>
      <c r="M45" s="8">
        <f>L45</f>
        <v>2411.2799999999997</v>
      </c>
      <c r="N45" s="8">
        <f>M45</f>
        <v>2411.2799999999997</v>
      </c>
      <c r="O45" s="8">
        <f>N45</f>
        <v>2411.2799999999997</v>
      </c>
      <c r="P45" s="8">
        <f>J45*K45*12</f>
        <v>9645.119999999999</v>
      </c>
    </row>
    <row r="46" spans="1:17" ht="15">
      <c r="A46" s="45" t="s">
        <v>28</v>
      </c>
      <c r="B46" s="46"/>
      <c r="C46" s="46"/>
      <c r="D46" s="46"/>
      <c r="E46" s="46"/>
      <c r="F46" s="46"/>
      <c r="G46" s="46"/>
      <c r="H46" s="47"/>
      <c r="I46" s="2"/>
      <c r="J46" s="6"/>
      <c r="K46" s="2"/>
      <c r="L46" s="14">
        <f>SUM(L27:L45)</f>
        <v>357744.9</v>
      </c>
      <c r="M46" s="14">
        <f>SUM(M27:M45)</f>
        <v>358457.15</v>
      </c>
      <c r="N46" s="14">
        <f>SUM(N27:N45)</f>
        <v>357744.9</v>
      </c>
      <c r="O46" s="14">
        <f>SUM(O27:O45)</f>
        <v>358457.4</v>
      </c>
      <c r="P46" s="14">
        <f>SUM(P27:P45)</f>
        <v>1432404.1</v>
      </c>
      <c r="Q46" s="15"/>
    </row>
    <row r="47" spans="1:16" ht="15" customHeight="1">
      <c r="A47" s="85" t="s">
        <v>123</v>
      </c>
      <c r="B47" s="86"/>
      <c r="C47" s="86"/>
      <c r="D47" s="86"/>
      <c r="E47" s="86"/>
      <c r="F47" s="86"/>
      <c r="G47" s="86"/>
      <c r="H47" s="87"/>
      <c r="I47" s="2"/>
      <c r="J47" s="6"/>
      <c r="K47" s="2"/>
      <c r="L47" s="13"/>
      <c r="M47" s="13"/>
      <c r="N47" s="13"/>
      <c r="O47" s="13"/>
      <c r="P47" s="8">
        <f>I17</f>
        <v>195327.88127999997</v>
      </c>
    </row>
    <row r="48" spans="1:16" ht="15" customHeight="1">
      <c r="A48" s="88" t="s">
        <v>29</v>
      </c>
      <c r="B48" s="89"/>
      <c r="C48" s="89"/>
      <c r="D48" s="89"/>
      <c r="E48" s="89"/>
      <c r="F48" s="89"/>
      <c r="G48" s="89"/>
      <c r="H48" s="90"/>
      <c r="I48" s="2"/>
      <c r="J48" s="6"/>
      <c r="K48" s="2"/>
      <c r="L48" s="13"/>
      <c r="M48" s="13"/>
      <c r="N48" s="13"/>
      <c r="O48" s="13"/>
      <c r="P48" s="14">
        <f>P46+P47</f>
        <v>1627731.98128</v>
      </c>
    </row>
    <row r="49" spans="1:19" ht="15">
      <c r="A49" s="48" t="s">
        <v>30</v>
      </c>
      <c r="B49" s="49"/>
      <c r="C49" s="49"/>
      <c r="D49" s="49"/>
      <c r="E49" s="49"/>
      <c r="F49" s="49"/>
      <c r="G49" s="49"/>
      <c r="H49" s="84"/>
      <c r="I49" s="2"/>
      <c r="J49" s="6"/>
      <c r="K49" s="2"/>
      <c r="L49" s="2"/>
      <c r="M49" s="2"/>
      <c r="N49" s="2"/>
      <c r="O49" s="2"/>
      <c r="P49" s="6">
        <v>0</v>
      </c>
      <c r="Q49" s="15"/>
      <c r="S49" s="15"/>
    </row>
  </sheetData>
  <mergeCells count="51">
    <mergeCell ref="A46:H46"/>
    <mergeCell ref="A47:H47"/>
    <mergeCell ref="A48:H48"/>
    <mergeCell ref="A49:H49"/>
    <mergeCell ref="A36:H36"/>
    <mergeCell ref="A43:H43"/>
    <mergeCell ref="A44:H44"/>
    <mergeCell ref="A45:H45"/>
    <mergeCell ref="A37:H37"/>
    <mergeCell ref="A38:H38"/>
    <mergeCell ref="A39:H39"/>
    <mergeCell ref="A40:H40"/>
    <mergeCell ref="A41:H41"/>
    <mergeCell ref="A42:H42"/>
    <mergeCell ref="A32:H32"/>
    <mergeCell ref="A33:H33"/>
    <mergeCell ref="A34:G34"/>
    <mergeCell ref="A35:H35"/>
    <mergeCell ref="A28:H28"/>
    <mergeCell ref="A29:H29"/>
    <mergeCell ref="A30:H30"/>
    <mergeCell ref="A31:H31"/>
    <mergeCell ref="P24:P25"/>
    <mergeCell ref="A26:H26"/>
    <mergeCell ref="A27:H27"/>
    <mergeCell ref="A24:H25"/>
    <mergeCell ref="I24:I25"/>
    <mergeCell ref="J24:J25"/>
    <mergeCell ref="K24:K25"/>
    <mergeCell ref="A22:H22"/>
    <mergeCell ref="A23:I23"/>
    <mergeCell ref="A21:H21"/>
    <mergeCell ref="L24:O24"/>
    <mergeCell ref="A17:H17"/>
    <mergeCell ref="A18:H18"/>
    <mergeCell ref="A19:H19"/>
    <mergeCell ref="A20:H20"/>
    <mergeCell ref="L3:P3"/>
    <mergeCell ref="L4:P4"/>
    <mergeCell ref="A6:P6"/>
    <mergeCell ref="A7:P7"/>
    <mergeCell ref="A15:H15"/>
    <mergeCell ref="A16:H16"/>
    <mergeCell ref="A1:B1"/>
    <mergeCell ref="A3:B3"/>
    <mergeCell ref="A9:H9"/>
    <mergeCell ref="A10:H10"/>
    <mergeCell ref="A11:H11"/>
    <mergeCell ref="A12:H12"/>
    <mergeCell ref="A13:H13"/>
    <mergeCell ref="A14:H14"/>
  </mergeCells>
  <printOptions horizontalCentered="1"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6">
      <selection activeCell="M32" sqref="M32"/>
    </sheetView>
  </sheetViews>
  <sheetFormatPr defaultColWidth="8.796875" defaultRowHeight="14.25"/>
  <cols>
    <col min="4" max="4" width="6.69921875" style="0" customWidth="1"/>
    <col min="5" max="5" width="2.3984375" style="0" customWidth="1"/>
    <col min="6" max="6" width="1.1015625" style="0" customWidth="1"/>
    <col min="7" max="7" width="0.8984375" style="0" customWidth="1"/>
    <col min="8" max="8" width="2.296875" style="0" customWidth="1"/>
    <col min="9" max="9" width="7.8984375" style="0" customWidth="1"/>
    <col min="10" max="10" width="5.8984375" style="0" customWidth="1"/>
    <col min="11" max="11" width="7.3984375" style="0" customWidth="1"/>
    <col min="12" max="12" width="6.296875" style="0" customWidth="1"/>
    <col min="13" max="13" width="6.69921875" style="0" customWidth="1"/>
    <col min="14" max="14" width="6.8984375" style="0" customWidth="1"/>
    <col min="15" max="15" width="6.3984375" style="0" customWidth="1"/>
    <col min="16" max="16" width="6.69921875" style="0" customWidth="1"/>
  </cols>
  <sheetData>
    <row r="1" spans="1:14" ht="15">
      <c r="A1" s="110" t="s">
        <v>1</v>
      </c>
      <c r="B1" s="110"/>
      <c r="L1" s="7"/>
      <c r="M1" s="9" t="s">
        <v>1</v>
      </c>
      <c r="N1" s="9"/>
    </row>
    <row r="3" spans="1:16" ht="15">
      <c r="A3" s="111" t="s">
        <v>0</v>
      </c>
      <c r="B3" s="111"/>
      <c r="L3" s="104" t="s">
        <v>26</v>
      </c>
      <c r="M3" s="104"/>
      <c r="N3" s="104"/>
      <c r="O3" s="104"/>
      <c r="P3" s="104"/>
    </row>
    <row r="4" spans="1:16" ht="15">
      <c r="A4" s="1" t="s">
        <v>22</v>
      </c>
      <c r="B4" s="1"/>
      <c r="D4" s="11" t="s">
        <v>34</v>
      </c>
      <c r="L4" s="105" t="s">
        <v>31</v>
      </c>
      <c r="M4" s="105"/>
      <c r="N4" s="105"/>
      <c r="O4" s="105"/>
      <c r="P4" s="105"/>
    </row>
    <row r="5" spans="1:4" ht="15">
      <c r="A5" s="1" t="s">
        <v>22</v>
      </c>
      <c r="B5" s="1"/>
      <c r="D5" s="11" t="s">
        <v>34</v>
      </c>
    </row>
    <row r="6" spans="1:16" ht="15">
      <c r="A6" s="106" t="s">
        <v>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">
      <c r="A7" s="107" t="s">
        <v>55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9" ht="45.75" customHeight="1">
      <c r="A9" s="94"/>
      <c r="B9" s="95"/>
      <c r="C9" s="95"/>
      <c r="D9" s="95"/>
      <c r="E9" s="95"/>
      <c r="F9" s="95"/>
      <c r="G9" s="95"/>
      <c r="H9" s="135"/>
      <c r="I9" s="4" t="s">
        <v>6</v>
      </c>
    </row>
    <row r="10" spans="1:9" ht="12.75" customHeight="1">
      <c r="A10" s="85" t="s">
        <v>2</v>
      </c>
      <c r="B10" s="86"/>
      <c r="C10" s="86"/>
      <c r="D10" s="86"/>
      <c r="E10" s="86"/>
      <c r="F10" s="86"/>
      <c r="G10" s="86"/>
      <c r="H10" s="87"/>
      <c r="I10" s="3">
        <v>0</v>
      </c>
    </row>
    <row r="11" spans="1:9" ht="22.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8">
        <f>(K32*I19*12)+(120.1*3.91*12)+(25.6*3.91*12)</f>
        <v>765106.2239999999</v>
      </c>
    </row>
    <row r="12" spans="1:9" ht="22.5" customHeight="1">
      <c r="A12" s="62" t="s">
        <v>104</v>
      </c>
      <c r="B12" s="62"/>
      <c r="C12" s="62"/>
      <c r="D12" s="62"/>
      <c r="E12" s="62"/>
      <c r="F12" s="62"/>
      <c r="G12" s="62"/>
      <c r="H12" s="62"/>
      <c r="I12" s="8">
        <f>K28*I20*12</f>
        <v>70336.51200000002</v>
      </c>
    </row>
    <row r="13" spans="1:9" ht="22.5" customHeight="1">
      <c r="A13" s="62" t="s">
        <v>105</v>
      </c>
      <c r="B13" s="62"/>
      <c r="C13" s="62"/>
      <c r="D13" s="62"/>
      <c r="E13" s="62"/>
      <c r="F13" s="62"/>
      <c r="G13" s="62"/>
      <c r="H13" s="62"/>
      <c r="I13" s="8">
        <f>K33*I21*12</f>
        <v>379789.8</v>
      </c>
    </row>
    <row r="14" spans="1:9" ht="14.25" customHeight="1">
      <c r="A14" s="62" t="s">
        <v>106</v>
      </c>
      <c r="B14" s="62"/>
      <c r="C14" s="62"/>
      <c r="D14" s="62"/>
      <c r="E14" s="62"/>
      <c r="F14" s="62"/>
      <c r="G14" s="62"/>
      <c r="H14" s="62"/>
      <c r="I14" s="8">
        <f>K42*I22*12</f>
        <v>286806.77999999997</v>
      </c>
    </row>
    <row r="15" spans="1:9" ht="11.25" customHeight="1">
      <c r="A15" s="116" t="s">
        <v>43</v>
      </c>
      <c r="B15" s="117"/>
      <c r="C15" s="117"/>
      <c r="D15" s="117"/>
      <c r="E15" s="117"/>
      <c r="F15" s="117"/>
      <c r="G15" s="117"/>
      <c r="H15" s="18"/>
      <c r="I15" s="16"/>
    </row>
    <row r="16" spans="1:9" ht="12" customHeight="1">
      <c r="A16" s="119" t="s">
        <v>94</v>
      </c>
      <c r="B16" s="120"/>
      <c r="C16" s="120"/>
      <c r="D16" s="120"/>
      <c r="E16" s="120"/>
      <c r="F16" s="120"/>
      <c r="G16" s="120"/>
      <c r="H16" s="18"/>
      <c r="I16" s="19">
        <f>SUM(I11:I14)*10%</f>
        <v>150203.93159999998</v>
      </c>
    </row>
    <row r="17" spans="1:9" ht="12" customHeight="1">
      <c r="A17" s="91" t="s">
        <v>46</v>
      </c>
      <c r="B17" s="92"/>
      <c r="C17" s="92"/>
      <c r="D17" s="92"/>
      <c r="E17" s="92"/>
      <c r="F17" s="92"/>
      <c r="G17" s="92"/>
      <c r="H17" s="18"/>
      <c r="I17" s="8">
        <f>I16</f>
        <v>150203.93159999998</v>
      </c>
    </row>
    <row r="18" spans="1:9" ht="13.5" customHeight="1">
      <c r="A18" s="88" t="s">
        <v>4</v>
      </c>
      <c r="B18" s="89"/>
      <c r="C18" s="89"/>
      <c r="D18" s="89"/>
      <c r="E18" s="89"/>
      <c r="F18" s="89"/>
      <c r="G18" s="89"/>
      <c r="H18" s="90"/>
      <c r="I18" s="14">
        <f>SUM(I11:I14)-I17</f>
        <v>1351835.3843999999</v>
      </c>
    </row>
    <row r="19" spans="1:9" ht="21" customHeight="1">
      <c r="A19" s="85" t="s">
        <v>5</v>
      </c>
      <c r="B19" s="86"/>
      <c r="C19" s="86"/>
      <c r="D19" s="86"/>
      <c r="E19" s="86"/>
      <c r="F19" s="86"/>
      <c r="G19" s="86"/>
      <c r="H19" s="87"/>
      <c r="I19" s="6">
        <v>5.79</v>
      </c>
    </row>
    <row r="20" spans="1:9" ht="21" customHeight="1">
      <c r="A20" s="86" t="s">
        <v>101</v>
      </c>
      <c r="B20" s="86"/>
      <c r="C20" s="86"/>
      <c r="D20" s="86"/>
      <c r="E20" s="86"/>
      <c r="F20" s="86"/>
      <c r="G20" s="86"/>
      <c r="H20" s="86"/>
      <c r="I20" s="6">
        <v>0.53</v>
      </c>
    </row>
    <row r="21" spans="1:9" ht="21" customHeight="1">
      <c r="A21" s="86" t="s">
        <v>102</v>
      </c>
      <c r="B21" s="86"/>
      <c r="C21" s="86"/>
      <c r="D21" s="86"/>
      <c r="E21" s="86"/>
      <c r="F21" s="86"/>
      <c r="G21" s="86"/>
      <c r="H21" s="86"/>
      <c r="I21" s="6">
        <v>2.9</v>
      </c>
    </row>
    <row r="22" spans="1:9" ht="16.5" customHeight="1">
      <c r="A22" s="86" t="s">
        <v>103</v>
      </c>
      <c r="B22" s="86"/>
      <c r="C22" s="86"/>
      <c r="D22" s="86"/>
      <c r="E22" s="86"/>
      <c r="F22" s="86"/>
      <c r="G22" s="86"/>
      <c r="H22" s="87"/>
      <c r="I22" s="6">
        <v>2.19</v>
      </c>
    </row>
    <row r="23" spans="1:9" ht="12.75" customHeight="1">
      <c r="A23" s="123"/>
      <c r="B23" s="123"/>
      <c r="C23" s="123"/>
      <c r="D23" s="123"/>
      <c r="E23" s="123"/>
      <c r="F23" s="123"/>
      <c r="G23" s="123"/>
      <c r="H23" s="123"/>
      <c r="I23" s="123"/>
    </row>
    <row r="24" spans="1:16" ht="15" customHeight="1">
      <c r="A24" s="101" t="s">
        <v>7</v>
      </c>
      <c r="B24" s="101"/>
      <c r="C24" s="101"/>
      <c r="D24" s="101"/>
      <c r="E24" s="101"/>
      <c r="F24" s="101"/>
      <c r="G24" s="101"/>
      <c r="H24" s="101"/>
      <c r="I24" s="102" t="s">
        <v>8</v>
      </c>
      <c r="J24" s="102" t="s">
        <v>9</v>
      </c>
      <c r="K24" s="102" t="s">
        <v>10</v>
      </c>
      <c r="L24" s="99" t="s">
        <v>11</v>
      </c>
      <c r="M24" s="99"/>
      <c r="N24" s="99"/>
      <c r="O24" s="100"/>
      <c r="P24" s="101" t="s">
        <v>16</v>
      </c>
    </row>
    <row r="25" spans="1:16" ht="18.75" customHeight="1">
      <c r="A25" s="101"/>
      <c r="B25" s="101"/>
      <c r="C25" s="101"/>
      <c r="D25" s="101"/>
      <c r="E25" s="101"/>
      <c r="F25" s="101"/>
      <c r="G25" s="101"/>
      <c r="H25" s="101"/>
      <c r="I25" s="103"/>
      <c r="J25" s="103"/>
      <c r="K25" s="103"/>
      <c r="L25" s="6" t="s">
        <v>12</v>
      </c>
      <c r="M25" s="6" t="s">
        <v>13</v>
      </c>
      <c r="N25" s="6" t="s">
        <v>14</v>
      </c>
      <c r="O25" s="6" t="s">
        <v>15</v>
      </c>
      <c r="P25" s="101"/>
    </row>
    <row r="26" spans="1:16" ht="15">
      <c r="A26" s="45" t="s">
        <v>17</v>
      </c>
      <c r="B26" s="46"/>
      <c r="C26" s="46"/>
      <c r="D26" s="46"/>
      <c r="E26" s="46"/>
      <c r="F26" s="46"/>
      <c r="G26" s="46"/>
      <c r="H26" s="47"/>
      <c r="I26" s="5"/>
      <c r="J26" s="2"/>
      <c r="K26" s="2"/>
      <c r="L26" s="6"/>
      <c r="M26" s="6"/>
      <c r="N26" s="6"/>
      <c r="O26" s="6"/>
      <c r="P26" s="2"/>
    </row>
    <row r="27" spans="1:16" ht="15">
      <c r="A27" s="48" t="s">
        <v>18</v>
      </c>
      <c r="B27" s="49"/>
      <c r="C27" s="49"/>
      <c r="D27" s="49"/>
      <c r="E27" s="49"/>
      <c r="F27" s="49"/>
      <c r="G27" s="49"/>
      <c r="H27" s="84"/>
      <c r="I27" s="5"/>
      <c r="J27" s="2"/>
      <c r="K27" s="2"/>
      <c r="L27" s="6">
        <f aca="true" t="shared" si="0" ref="L27:L35">P27/4</f>
        <v>10000</v>
      </c>
      <c r="M27" s="6">
        <f aca="true" t="shared" si="1" ref="M27:M33">P27/4</f>
        <v>10000</v>
      </c>
      <c r="N27" s="6">
        <f aca="true" t="shared" si="2" ref="N27:N33">P27/4</f>
        <v>10000</v>
      </c>
      <c r="O27" s="6">
        <f aca="true" t="shared" si="3" ref="O27:O33">P27/4</f>
        <v>10000</v>
      </c>
      <c r="P27" s="8">
        <v>40000</v>
      </c>
    </row>
    <row r="28" spans="1:18" ht="22.5">
      <c r="A28" s="48" t="s">
        <v>19</v>
      </c>
      <c r="B28" s="49"/>
      <c r="C28" s="49"/>
      <c r="D28" s="49"/>
      <c r="E28" s="49"/>
      <c r="F28" s="49"/>
      <c r="G28" s="49"/>
      <c r="H28" s="84"/>
      <c r="I28" s="4" t="s">
        <v>23</v>
      </c>
      <c r="J28" s="6">
        <v>0.52</v>
      </c>
      <c r="K28" s="6">
        <f>10913.5+120.1+25.6</f>
        <v>11059.2</v>
      </c>
      <c r="L28" s="8">
        <f t="shared" si="0"/>
        <v>17252.352000000003</v>
      </c>
      <c r="M28" s="8">
        <f t="shared" si="1"/>
        <v>17252.352000000003</v>
      </c>
      <c r="N28" s="8">
        <f t="shared" si="2"/>
        <v>17252.352000000003</v>
      </c>
      <c r="O28" s="8">
        <f t="shared" si="3"/>
        <v>17252.352000000003</v>
      </c>
      <c r="P28" s="8">
        <f>J28*K28*12</f>
        <v>69009.40800000001</v>
      </c>
      <c r="Q28">
        <v>11129.1</v>
      </c>
      <c r="R28" s="12"/>
    </row>
    <row r="29" spans="1:16" ht="22.5">
      <c r="A29" s="48" t="s">
        <v>20</v>
      </c>
      <c r="B29" s="49"/>
      <c r="C29" s="49"/>
      <c r="D29" s="49"/>
      <c r="E29" s="49"/>
      <c r="F29" s="49"/>
      <c r="G29" s="49"/>
      <c r="H29" s="84"/>
      <c r="I29" s="4" t="s">
        <v>23</v>
      </c>
      <c r="J29" s="6">
        <v>0.9</v>
      </c>
      <c r="K29" s="6">
        <f>10913.5+120.1+25.6</f>
        <v>11059.2</v>
      </c>
      <c r="L29" s="8">
        <f t="shared" si="0"/>
        <v>29859.840000000004</v>
      </c>
      <c r="M29" s="8">
        <f t="shared" si="1"/>
        <v>29859.840000000004</v>
      </c>
      <c r="N29" s="8">
        <f t="shared" si="2"/>
        <v>29859.840000000004</v>
      </c>
      <c r="O29" s="8">
        <f t="shared" si="3"/>
        <v>29859.840000000004</v>
      </c>
      <c r="P29" s="8">
        <f>K29*J29*12</f>
        <v>119439.36000000002</v>
      </c>
    </row>
    <row r="30" spans="1:16" ht="22.5">
      <c r="A30" s="48" t="s">
        <v>21</v>
      </c>
      <c r="B30" s="49"/>
      <c r="C30" s="49"/>
      <c r="D30" s="49"/>
      <c r="E30" s="49"/>
      <c r="F30" s="49"/>
      <c r="G30" s="49"/>
      <c r="H30" s="84"/>
      <c r="I30" s="4" t="s">
        <v>23</v>
      </c>
      <c r="J30" s="6">
        <v>0.38</v>
      </c>
      <c r="K30" s="6">
        <f>10913.5+120.1+25.6</f>
        <v>11059.2</v>
      </c>
      <c r="L30" s="8">
        <f t="shared" si="0"/>
        <v>12607.488000000001</v>
      </c>
      <c r="M30" s="8">
        <f t="shared" si="1"/>
        <v>12607.488000000001</v>
      </c>
      <c r="N30" s="8">
        <f t="shared" si="2"/>
        <v>12607.488000000001</v>
      </c>
      <c r="O30" s="8">
        <f t="shared" si="3"/>
        <v>12607.488000000001</v>
      </c>
      <c r="P30" s="8">
        <f>K30*J30*12</f>
        <v>50429.952000000005</v>
      </c>
    </row>
    <row r="31" spans="1:16" ht="21.75" customHeight="1">
      <c r="A31" s="85" t="s">
        <v>39</v>
      </c>
      <c r="B31" s="86"/>
      <c r="C31" s="86"/>
      <c r="D31" s="86"/>
      <c r="E31" s="86"/>
      <c r="F31" s="86"/>
      <c r="G31" s="86"/>
      <c r="H31" s="87"/>
      <c r="I31" s="4" t="s">
        <v>23</v>
      </c>
      <c r="J31" s="6"/>
      <c r="K31" s="6"/>
      <c r="L31" s="6">
        <f t="shared" si="0"/>
        <v>15000</v>
      </c>
      <c r="M31" s="6">
        <f t="shared" si="1"/>
        <v>15000</v>
      </c>
      <c r="N31" s="6">
        <f t="shared" si="2"/>
        <v>15000</v>
      </c>
      <c r="O31" s="6">
        <f t="shared" si="3"/>
        <v>15000</v>
      </c>
      <c r="P31" s="6">
        <v>60000</v>
      </c>
    </row>
    <row r="32" spans="1:16" ht="22.5">
      <c r="A32" s="48" t="s">
        <v>40</v>
      </c>
      <c r="B32" s="49"/>
      <c r="C32" s="49"/>
      <c r="D32" s="49"/>
      <c r="E32" s="49"/>
      <c r="F32" s="49"/>
      <c r="G32" s="49"/>
      <c r="H32" s="84"/>
      <c r="I32" s="4" t="s">
        <v>23</v>
      </c>
      <c r="J32" s="6">
        <v>0.95</v>
      </c>
      <c r="K32" s="6">
        <v>10913.5</v>
      </c>
      <c r="L32" s="8">
        <f t="shared" si="0"/>
        <v>31103.475</v>
      </c>
      <c r="M32" s="8">
        <f t="shared" si="1"/>
        <v>31103.475</v>
      </c>
      <c r="N32" s="8">
        <f t="shared" si="2"/>
        <v>31103.475</v>
      </c>
      <c r="O32" s="8">
        <f t="shared" si="3"/>
        <v>31103.475</v>
      </c>
      <c r="P32" s="8">
        <f>J32*K32*12</f>
        <v>124413.9</v>
      </c>
    </row>
    <row r="33" spans="1:16" ht="22.5" customHeight="1">
      <c r="A33" s="48" t="s">
        <v>41</v>
      </c>
      <c r="B33" s="49"/>
      <c r="C33" s="49"/>
      <c r="D33" s="49"/>
      <c r="E33" s="49"/>
      <c r="F33" s="49"/>
      <c r="G33" s="49"/>
      <c r="H33" s="84"/>
      <c r="I33" s="4" t="s">
        <v>23</v>
      </c>
      <c r="J33" s="6">
        <v>0.8</v>
      </c>
      <c r="K33" s="6">
        <v>10913.5</v>
      </c>
      <c r="L33" s="8">
        <f t="shared" si="0"/>
        <v>26192.4</v>
      </c>
      <c r="M33" s="8">
        <f t="shared" si="1"/>
        <v>26192.4</v>
      </c>
      <c r="N33" s="8">
        <f t="shared" si="2"/>
        <v>26192.4</v>
      </c>
      <c r="O33" s="8">
        <f t="shared" si="3"/>
        <v>26192.4</v>
      </c>
      <c r="P33" s="8">
        <f>K33*0.8*12</f>
        <v>104769.6</v>
      </c>
    </row>
    <row r="34" spans="1:16" ht="18" customHeight="1">
      <c r="A34" s="48" t="s">
        <v>47</v>
      </c>
      <c r="B34" s="49"/>
      <c r="C34" s="49"/>
      <c r="D34" s="49"/>
      <c r="E34" s="49"/>
      <c r="F34" s="49"/>
      <c r="G34" s="49"/>
      <c r="H34" s="17"/>
      <c r="I34" s="4" t="s">
        <v>24</v>
      </c>
      <c r="J34" s="6">
        <v>200</v>
      </c>
      <c r="K34" s="6">
        <v>5</v>
      </c>
      <c r="L34" s="6">
        <f t="shared" si="0"/>
        <v>3000</v>
      </c>
      <c r="M34" s="6">
        <f>L34</f>
        <v>3000</v>
      </c>
      <c r="N34" s="6">
        <f>L34</f>
        <v>3000</v>
      </c>
      <c r="O34" s="6">
        <f>L34</f>
        <v>3000</v>
      </c>
      <c r="P34" s="8">
        <f>J34*K34*12</f>
        <v>12000</v>
      </c>
    </row>
    <row r="35" spans="1:16" ht="24" customHeight="1">
      <c r="A35" s="85" t="s">
        <v>48</v>
      </c>
      <c r="B35" s="86"/>
      <c r="C35" s="86"/>
      <c r="D35" s="86"/>
      <c r="E35" s="86"/>
      <c r="F35" s="86"/>
      <c r="G35" s="86"/>
      <c r="H35" s="87"/>
      <c r="I35" s="5"/>
      <c r="J35" s="6"/>
      <c r="K35" s="2"/>
      <c r="L35" s="8">
        <f t="shared" si="0"/>
        <v>13376.5</v>
      </c>
      <c r="M35" s="8">
        <f>P35/4</f>
        <v>13376.5</v>
      </c>
      <c r="N35" s="8">
        <f>P35/4</f>
        <v>13376.5</v>
      </c>
      <c r="O35" s="6">
        <f>P35/4</f>
        <v>13376.5</v>
      </c>
      <c r="P35" s="8">
        <v>53506</v>
      </c>
    </row>
    <row r="36" spans="1:18" ht="15">
      <c r="A36" s="48" t="s">
        <v>49</v>
      </c>
      <c r="B36" s="49"/>
      <c r="C36" s="49"/>
      <c r="D36" s="49"/>
      <c r="E36" s="49"/>
      <c r="F36" s="49"/>
      <c r="G36" s="49"/>
      <c r="H36" s="84"/>
      <c r="I36" s="6" t="s">
        <v>25</v>
      </c>
      <c r="J36" s="6">
        <v>1</v>
      </c>
      <c r="K36" s="6">
        <v>1616.3</v>
      </c>
      <c r="L36" s="6"/>
      <c r="M36" s="8">
        <f>P36/2</f>
        <v>808.15</v>
      </c>
      <c r="N36" s="6"/>
      <c r="O36" s="8">
        <v>808</v>
      </c>
      <c r="P36" s="8">
        <f>K36*J36</f>
        <v>1616.3</v>
      </c>
      <c r="R36" s="12"/>
    </row>
    <row r="37" spans="1:18" ht="15">
      <c r="A37" s="45" t="s">
        <v>107</v>
      </c>
      <c r="B37" s="46"/>
      <c r="C37" s="46"/>
      <c r="D37" s="46"/>
      <c r="E37" s="46"/>
      <c r="F37" s="46"/>
      <c r="G37" s="46"/>
      <c r="H37" s="47"/>
      <c r="I37" s="6"/>
      <c r="J37" s="6"/>
      <c r="K37" s="6"/>
      <c r="L37" s="6"/>
      <c r="M37" s="8"/>
      <c r="N37" s="6"/>
      <c r="O37" s="8"/>
      <c r="P37" s="8"/>
      <c r="R37" s="12"/>
    </row>
    <row r="38" spans="1:18" ht="22.5">
      <c r="A38" s="48" t="s">
        <v>108</v>
      </c>
      <c r="B38" s="49"/>
      <c r="C38" s="49"/>
      <c r="D38" s="49"/>
      <c r="E38" s="49"/>
      <c r="F38" s="49"/>
      <c r="G38" s="49"/>
      <c r="H38" s="84"/>
      <c r="I38" s="4" t="s">
        <v>23</v>
      </c>
      <c r="J38" s="6">
        <v>0.48</v>
      </c>
      <c r="K38" s="6">
        <f>10913.5+120.1+25.6</f>
        <v>11059.2</v>
      </c>
      <c r="L38" s="8">
        <f>P38/4</f>
        <v>15925.248</v>
      </c>
      <c r="M38" s="8">
        <f>P38/4</f>
        <v>15925.248</v>
      </c>
      <c r="N38" s="8">
        <f>P38/4</f>
        <v>15925.248</v>
      </c>
      <c r="O38" s="8">
        <f>P38/4</f>
        <v>15925.248</v>
      </c>
      <c r="P38" s="8">
        <f>K38*J38*12</f>
        <v>63700.992</v>
      </c>
      <c r="R38" s="12"/>
    </row>
    <row r="39" spans="1:18" ht="13.5" customHeight="1">
      <c r="A39" s="45" t="s">
        <v>109</v>
      </c>
      <c r="B39" s="46"/>
      <c r="C39" s="46"/>
      <c r="D39" s="46"/>
      <c r="E39" s="46"/>
      <c r="F39" s="46"/>
      <c r="G39" s="46"/>
      <c r="H39" s="47"/>
      <c r="I39" s="6"/>
      <c r="J39" s="6"/>
      <c r="K39" s="6"/>
      <c r="L39" s="6"/>
      <c r="M39" s="8"/>
      <c r="N39" s="6"/>
      <c r="O39" s="8"/>
      <c r="P39" s="8"/>
      <c r="R39" s="12"/>
    </row>
    <row r="40" spans="1:18" ht="24" customHeight="1">
      <c r="A40" s="48" t="s">
        <v>110</v>
      </c>
      <c r="B40" s="49"/>
      <c r="C40" s="49"/>
      <c r="D40" s="49"/>
      <c r="E40" s="49"/>
      <c r="F40" s="49"/>
      <c r="G40" s="49"/>
      <c r="H40" s="84"/>
      <c r="I40" s="4" t="s">
        <v>23</v>
      </c>
      <c r="J40" s="6">
        <v>2.52</v>
      </c>
      <c r="K40" s="6">
        <v>10913.5</v>
      </c>
      <c r="L40" s="6">
        <f>P40/4</f>
        <v>82506.06</v>
      </c>
      <c r="M40" s="8">
        <f>P40/4</f>
        <v>82506.06</v>
      </c>
      <c r="N40" s="8">
        <f>P40/4</f>
        <v>82506.06</v>
      </c>
      <c r="O40" s="8">
        <f>P40/4</f>
        <v>82506.06</v>
      </c>
      <c r="P40" s="8">
        <f>K40*J40*12</f>
        <v>330024.24</v>
      </c>
      <c r="R40" s="12"/>
    </row>
    <row r="41" spans="1:18" ht="13.5" customHeight="1">
      <c r="A41" s="45" t="s">
        <v>111</v>
      </c>
      <c r="B41" s="46"/>
      <c r="C41" s="46"/>
      <c r="D41" s="46"/>
      <c r="E41" s="46"/>
      <c r="F41" s="46"/>
      <c r="G41" s="46"/>
      <c r="H41" s="47"/>
      <c r="I41" s="4"/>
      <c r="J41" s="6"/>
      <c r="K41" s="6"/>
      <c r="L41" s="6"/>
      <c r="M41" s="8"/>
      <c r="N41" s="6"/>
      <c r="O41" s="8"/>
      <c r="P41" s="8"/>
      <c r="R41" s="12"/>
    </row>
    <row r="42" spans="1:18" ht="21.75" customHeight="1">
      <c r="A42" s="48" t="s">
        <v>112</v>
      </c>
      <c r="B42" s="49"/>
      <c r="C42" s="49"/>
      <c r="D42" s="49"/>
      <c r="E42" s="49"/>
      <c r="F42" s="49"/>
      <c r="G42" s="49"/>
      <c r="H42" s="84"/>
      <c r="I42" s="4" t="s">
        <v>23</v>
      </c>
      <c r="J42" s="6">
        <v>1.9</v>
      </c>
      <c r="K42" s="6">
        <v>10913.5</v>
      </c>
      <c r="L42" s="6">
        <f>P42/4</f>
        <v>62206.95</v>
      </c>
      <c r="M42" s="8">
        <f>P42/4</f>
        <v>62206.95</v>
      </c>
      <c r="N42" s="8">
        <f>P42/4</f>
        <v>62206.95</v>
      </c>
      <c r="O42" s="8">
        <f>P42/4</f>
        <v>62206.95</v>
      </c>
      <c r="P42" s="8">
        <f>K42*J42*12</f>
        <v>248827.8</v>
      </c>
      <c r="Q42">
        <v>10983.4</v>
      </c>
      <c r="R42" s="12"/>
    </row>
    <row r="43" spans="1:16" ht="15">
      <c r="A43" s="45" t="s">
        <v>113</v>
      </c>
      <c r="B43" s="46"/>
      <c r="C43" s="46"/>
      <c r="D43" s="46"/>
      <c r="E43" s="46"/>
      <c r="F43" s="46"/>
      <c r="G43" s="46"/>
      <c r="H43" s="47"/>
      <c r="I43" s="5"/>
      <c r="J43" s="6"/>
      <c r="K43" s="2"/>
      <c r="L43" s="2"/>
      <c r="M43" s="2"/>
      <c r="N43" s="2"/>
      <c r="O43" s="2"/>
      <c r="P43" s="6"/>
    </row>
    <row r="44" spans="1:16" ht="21" customHeight="1">
      <c r="A44" s="85" t="s">
        <v>114</v>
      </c>
      <c r="B44" s="86"/>
      <c r="C44" s="86"/>
      <c r="D44" s="86"/>
      <c r="E44" s="86"/>
      <c r="F44" s="86"/>
      <c r="G44" s="86"/>
      <c r="H44" s="87"/>
      <c r="I44" s="2"/>
      <c r="J44" s="6"/>
      <c r="K44" s="2"/>
      <c r="L44" s="6">
        <f>P44/4</f>
        <v>15853</v>
      </c>
      <c r="M44" s="8">
        <f>P44/4</f>
        <v>15853</v>
      </c>
      <c r="N44" s="8">
        <f>P44/4</f>
        <v>15853</v>
      </c>
      <c r="O44" s="8">
        <f>P44/4</f>
        <v>15853</v>
      </c>
      <c r="P44" s="8">
        <v>63412</v>
      </c>
    </row>
    <row r="45" spans="1:16" ht="15" customHeight="1">
      <c r="A45" s="85" t="s">
        <v>115</v>
      </c>
      <c r="B45" s="86"/>
      <c r="C45" s="86"/>
      <c r="D45" s="86"/>
      <c r="E45" s="86"/>
      <c r="F45" s="86"/>
      <c r="G45" s="86"/>
      <c r="H45" s="87"/>
      <c r="I45" s="6" t="s">
        <v>27</v>
      </c>
      <c r="J45" s="6">
        <v>3.94</v>
      </c>
      <c r="K45" s="6">
        <v>226</v>
      </c>
      <c r="L45" s="8">
        <f>J45*K45*3</f>
        <v>2671.3199999999997</v>
      </c>
      <c r="M45" s="8">
        <f>L45</f>
        <v>2671.3199999999997</v>
      </c>
      <c r="N45" s="8">
        <f>M45</f>
        <v>2671.3199999999997</v>
      </c>
      <c r="O45" s="8">
        <f>N45</f>
        <v>2671.3199999999997</v>
      </c>
      <c r="P45" s="8">
        <f>J45*K45*12</f>
        <v>10685.279999999999</v>
      </c>
    </row>
    <row r="46" spans="1:17" ht="15">
      <c r="A46" s="45" t="s">
        <v>28</v>
      </c>
      <c r="B46" s="46"/>
      <c r="C46" s="46"/>
      <c r="D46" s="46"/>
      <c r="E46" s="46"/>
      <c r="F46" s="46"/>
      <c r="G46" s="46"/>
      <c r="H46" s="47"/>
      <c r="I46" s="2"/>
      <c r="J46" s="6"/>
      <c r="K46" s="2"/>
      <c r="L46" s="14">
        <f>SUM(L27:L45)</f>
        <v>337554.633</v>
      </c>
      <c r="M46" s="14">
        <f>SUM(M27:M45)</f>
        <v>338362.783</v>
      </c>
      <c r="N46" s="14">
        <f>SUM(N27:N45)</f>
        <v>337554.633</v>
      </c>
      <c r="O46" s="14">
        <f>SUM(O27:O45)</f>
        <v>338362.633</v>
      </c>
      <c r="P46" s="14">
        <f>SUM(P27:P45)</f>
        <v>1351834.832</v>
      </c>
      <c r="Q46" s="15">
        <f>I18-P46</f>
        <v>0.5523999999277294</v>
      </c>
    </row>
    <row r="47" spans="1:16" ht="15" customHeight="1">
      <c r="A47" s="85" t="s">
        <v>116</v>
      </c>
      <c r="B47" s="86"/>
      <c r="C47" s="86"/>
      <c r="D47" s="86"/>
      <c r="E47" s="86"/>
      <c r="F47" s="86"/>
      <c r="G47" s="86"/>
      <c r="H47" s="87"/>
      <c r="I47" s="2"/>
      <c r="J47" s="6"/>
      <c r="K47" s="2"/>
      <c r="L47" s="13"/>
      <c r="M47" s="13"/>
      <c r="N47" s="13"/>
      <c r="O47" s="13"/>
      <c r="P47" s="8">
        <f>I17</f>
        <v>150203.93159999998</v>
      </c>
    </row>
    <row r="48" spans="1:16" ht="15" customHeight="1">
      <c r="A48" s="88" t="s">
        <v>29</v>
      </c>
      <c r="B48" s="89"/>
      <c r="C48" s="89"/>
      <c r="D48" s="89"/>
      <c r="E48" s="89"/>
      <c r="F48" s="89"/>
      <c r="G48" s="89"/>
      <c r="H48" s="90"/>
      <c r="I48" s="2"/>
      <c r="J48" s="6"/>
      <c r="K48" s="2"/>
      <c r="L48" s="13"/>
      <c r="M48" s="13"/>
      <c r="N48" s="13"/>
      <c r="O48" s="13"/>
      <c r="P48" s="14">
        <f>P46+P47</f>
        <v>1502038.7636</v>
      </c>
    </row>
    <row r="49" spans="1:19" ht="15">
      <c r="A49" s="48" t="s">
        <v>30</v>
      </c>
      <c r="B49" s="49"/>
      <c r="C49" s="49"/>
      <c r="D49" s="49"/>
      <c r="E49" s="49"/>
      <c r="F49" s="49"/>
      <c r="G49" s="49"/>
      <c r="H49" s="84"/>
      <c r="I49" s="2"/>
      <c r="J49" s="6"/>
      <c r="K49" s="2"/>
      <c r="L49" s="2"/>
      <c r="M49" s="2"/>
      <c r="N49" s="2"/>
      <c r="O49" s="2"/>
      <c r="P49" s="6">
        <v>0</v>
      </c>
      <c r="Q49" s="15"/>
      <c r="S49" s="15"/>
    </row>
  </sheetData>
  <mergeCells count="51">
    <mergeCell ref="A1:B1"/>
    <mergeCell ref="A3:B3"/>
    <mergeCell ref="L3:P3"/>
    <mergeCell ref="L4:P4"/>
    <mergeCell ref="A6:P6"/>
    <mergeCell ref="A7:P7"/>
    <mergeCell ref="A9:H9"/>
    <mergeCell ref="A10:H10"/>
    <mergeCell ref="A15:G15"/>
    <mergeCell ref="A16:G16"/>
    <mergeCell ref="A11:H11"/>
    <mergeCell ref="A12:H12"/>
    <mergeCell ref="A13:H13"/>
    <mergeCell ref="A14:H14"/>
    <mergeCell ref="A17:G17"/>
    <mergeCell ref="A18:H18"/>
    <mergeCell ref="A19:H19"/>
    <mergeCell ref="A23:I23"/>
    <mergeCell ref="A20:H20"/>
    <mergeCell ref="A21:H21"/>
    <mergeCell ref="A22:H22"/>
    <mergeCell ref="L24:O24"/>
    <mergeCell ref="P24:P25"/>
    <mergeCell ref="A26:H26"/>
    <mergeCell ref="A27:H27"/>
    <mergeCell ref="A24:H25"/>
    <mergeCell ref="I24:I25"/>
    <mergeCell ref="J24:J25"/>
    <mergeCell ref="K24:K25"/>
    <mergeCell ref="A49:H49"/>
    <mergeCell ref="A45:H45"/>
    <mergeCell ref="A46:H46"/>
    <mergeCell ref="A47:H47"/>
    <mergeCell ref="A48:H48"/>
    <mergeCell ref="A28:H28"/>
    <mergeCell ref="A29:H29"/>
    <mergeCell ref="A43:H43"/>
    <mergeCell ref="A44:H44"/>
    <mergeCell ref="A30:H30"/>
    <mergeCell ref="A31:H31"/>
    <mergeCell ref="A36:H36"/>
    <mergeCell ref="A32:H32"/>
    <mergeCell ref="A33:H33"/>
    <mergeCell ref="A34:G34"/>
    <mergeCell ref="A35:H35"/>
    <mergeCell ref="A41:H41"/>
    <mergeCell ref="A42:H42"/>
    <mergeCell ref="A37:H37"/>
    <mergeCell ref="A38:H38"/>
    <mergeCell ref="A39:H39"/>
    <mergeCell ref="A40:H40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sergeeva.n</cp:lastModifiedBy>
  <cp:lastPrinted>2012-02-21T02:31:40Z</cp:lastPrinted>
  <dcterms:created xsi:type="dcterms:W3CDTF">2004-06-25T08:11:26Z</dcterms:created>
  <dcterms:modified xsi:type="dcterms:W3CDTF">2012-02-21T02:36:55Z</dcterms:modified>
  <cp:category/>
  <cp:version/>
  <cp:contentType/>
  <cp:contentStatus/>
</cp:coreProperties>
</file>