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5" activeTab="26"/>
  </bookViews>
  <sheets>
    <sheet name="в78с7" sheetId="1" r:id="rId1"/>
    <sheet name="в2" sheetId="2" r:id="rId2"/>
    <sheet name="в23" sheetId="3" r:id="rId3"/>
    <sheet name="в27" sheetId="4" r:id="rId4"/>
    <sheet name="в35" sheetId="5" r:id="rId5"/>
    <sheet name="в41" sheetId="6" r:id="rId6"/>
    <sheet name="ич20" sheetId="7" r:id="rId7"/>
    <sheet name="ич24" sheetId="8" r:id="rId8"/>
    <sheet name="м2" sheetId="9" r:id="rId9"/>
    <sheet name="г11а" sheetId="10" r:id="rId10"/>
    <sheet name="г11в" sheetId="11" r:id="rId11"/>
    <sheet name="т7" sheetId="12" r:id="rId12"/>
    <sheet name="и14" sheetId="13" r:id="rId13"/>
    <sheet name="п21" sheetId="14" r:id="rId14"/>
    <sheet name="п2" sheetId="15" r:id="rId15"/>
    <sheet name="сг50" sheetId="16" r:id="rId16"/>
    <sheet name="сг53" sheetId="17" r:id="rId17"/>
    <sheet name="сг54" sheetId="18" r:id="rId18"/>
    <sheet name="ж60" sheetId="19" r:id="rId19"/>
    <sheet name="ж62" sheetId="20" r:id="rId20"/>
    <sheet name="ж30" sheetId="21" r:id="rId21"/>
    <sheet name="ж32" sheetId="22" r:id="rId22"/>
    <sheet name="в25" sheetId="23" r:id="rId23"/>
    <sheet name="в43" sheetId="24" r:id="rId24"/>
    <sheet name="п73" sheetId="25" r:id="rId25"/>
    <sheet name="н1" sheetId="26" r:id="rId26"/>
    <sheet name="79гд1" sheetId="27" r:id="rId27"/>
  </sheets>
  <definedNames/>
  <calcPr fullCalcOnLoad="1" refMode="R1C1"/>
</workbook>
</file>

<file path=xl/sharedStrings.xml><?xml version="1.0" encoding="utf-8"?>
<sst xmlns="http://schemas.openxmlformats.org/spreadsheetml/2006/main" count="1789" uniqueCount="129">
  <si>
    <t>СОГЛАСОВАНО:</t>
  </si>
  <si>
    <t>Старший по дому</t>
  </si>
  <si>
    <t>Директор ООО "Управдом"</t>
  </si>
  <si>
    <t>_____________________ /_____________________ кв._____/</t>
  </si>
  <si>
    <r>
      <t xml:space="preserve">по адресу: </t>
    </r>
    <r>
      <rPr>
        <b/>
        <sz val="10"/>
        <rFont val="Arial"/>
        <family val="2"/>
      </rPr>
      <t>ул. Вокзальная, 2</t>
    </r>
  </si>
  <si>
    <t>Остаток на 01.01.2010г.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</si>
  <si>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</si>
  <si>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</si>
  <si>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</si>
  <si>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</si>
  <si>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</si>
  <si>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</si>
  <si>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</si>
  <si>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</si>
  <si>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</si>
  <si>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</si>
  <si>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</si>
  <si>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м2 общей площади</t>
  </si>
  <si>
    <t>шт</t>
  </si>
  <si>
    <t>м2 подвала</t>
  </si>
  <si>
    <t>Итого:</t>
  </si>
  <si>
    <t>ВСЕГО:</t>
  </si>
  <si>
    <t>Переходящий остаток</t>
  </si>
  <si>
    <t>работ по содержанию общего имущества жилого дома</t>
  </si>
  <si>
    <t>Сумма годовых начислений на содержание помещений общего пользования</t>
  </si>
  <si>
    <t>Сумма годовых начислений на обслуживание приборов учета тепловой энергии</t>
  </si>
  <si>
    <t>Сумма годовых начислений на содержание и обслуживание лифтового хозяйства</t>
  </si>
  <si>
    <t>Сумма годовых начислений на вывоз мусора</t>
  </si>
  <si>
    <t>Сумма на выполнение работ</t>
  </si>
  <si>
    <t>Тариф по содержанию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</si>
  <si>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</si>
  <si>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</si>
  <si>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План на 2010 год</t>
  </si>
  <si>
    <t>Содержание общего имущества, руб.</t>
  </si>
  <si>
    <t>________________ О.Г. Урядов</t>
  </si>
  <si>
    <t>Отчисления на содержание УК 10%</t>
  </si>
  <si>
    <t>1. Содержание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</si>
  <si>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</si>
  <si>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</si>
  <si>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1.3. Обслуживание инженерного оборудования</t>
  </si>
  <si>
    <t>1.4. Аварийное обслуживание</t>
  </si>
  <si>
    <t>1.5. Обслуживание прибора учета электроэнергии</t>
  </si>
  <si>
    <t>1.6. Материалы на мелкий ремонт и аварийное обслуживание</t>
  </si>
  <si>
    <t>1.7. Уборка придомовой территории</t>
  </si>
  <si>
    <t>1.8. Уборка лестничных клеток</t>
  </si>
  <si>
    <t>1.9. Уборка лифтов</t>
  </si>
  <si>
    <t>1.10. Дополнительные работы по благоустройству (заказ спецтехники, уход за зелеными насаждениями и т.д.)</t>
  </si>
  <si>
    <t>1.11. Дератизация</t>
  </si>
  <si>
    <t>2. Обслуживание приборов учета тепловой энергии:</t>
  </si>
  <si>
    <t>2.1. Обслуживание приборов учета тепловой энергии</t>
  </si>
  <si>
    <t>3. Обслуживание лифтового хозяйства:</t>
  </si>
  <si>
    <t>3.1. Обслуживание лифтового хозяйства</t>
  </si>
  <si>
    <t>4. Вывоз мусора:</t>
  </si>
  <si>
    <t>4.1. Вывоз мусора</t>
  </si>
  <si>
    <t>5. Прочее:</t>
  </si>
  <si>
    <t>5.2. Затраты на печать квитанций и обработку платежей</t>
  </si>
  <si>
    <t>лиц.сч.</t>
  </si>
  <si>
    <t>5.1. Комиссия за прием платежей (3% от оплаты за все услуги)</t>
  </si>
  <si>
    <r>
      <t xml:space="preserve">по адресу: </t>
    </r>
    <r>
      <rPr>
        <b/>
        <sz val="10"/>
        <rFont val="Arial"/>
        <family val="2"/>
      </rPr>
      <t>ул. Вокзальная, 23</t>
    </r>
  </si>
  <si>
    <r>
      <t xml:space="preserve">по адресу: </t>
    </r>
    <r>
      <rPr>
        <b/>
        <sz val="10"/>
        <rFont val="Arial"/>
        <family val="2"/>
      </rPr>
      <t>ул. Вокзальная, 27</t>
    </r>
  </si>
  <si>
    <r>
      <t xml:space="preserve">по адресу: </t>
    </r>
    <r>
      <rPr>
        <b/>
        <sz val="10"/>
        <rFont val="Arial"/>
        <family val="2"/>
      </rPr>
      <t>ул. Вокзальная, 35</t>
    </r>
  </si>
  <si>
    <r>
      <t xml:space="preserve">по адресу: </t>
    </r>
    <r>
      <rPr>
        <b/>
        <sz val="10"/>
        <rFont val="Arial"/>
        <family val="2"/>
      </rPr>
      <t>ул. Вокзальная, 41</t>
    </r>
  </si>
  <si>
    <r>
      <t xml:space="preserve">по адресу: </t>
    </r>
    <r>
      <rPr>
        <b/>
        <sz val="10"/>
        <rFont val="Arial"/>
        <family val="2"/>
      </rPr>
      <t>ул. И.Черных, 20</t>
    </r>
  </si>
  <si>
    <r>
      <t xml:space="preserve">по адресу: </t>
    </r>
    <r>
      <rPr>
        <b/>
        <sz val="10"/>
        <rFont val="Arial"/>
        <family val="2"/>
      </rPr>
      <t>ул. И.Черных, 24</t>
    </r>
  </si>
  <si>
    <r>
      <t xml:space="preserve">по адресу: </t>
    </r>
    <r>
      <rPr>
        <b/>
        <sz val="10"/>
        <rFont val="Arial"/>
        <family val="2"/>
      </rPr>
      <t>ул. Мичурина, 2</t>
    </r>
  </si>
  <si>
    <r>
      <t xml:space="preserve">по адресу: </t>
    </r>
    <r>
      <rPr>
        <b/>
        <sz val="10"/>
        <rFont val="Arial"/>
        <family val="2"/>
      </rPr>
      <t>ул. Говорова, 11а</t>
    </r>
  </si>
  <si>
    <r>
      <t xml:space="preserve">по адресу: </t>
    </r>
    <r>
      <rPr>
        <b/>
        <sz val="10"/>
        <rFont val="Arial"/>
        <family val="2"/>
      </rPr>
      <t>ул. Говорова, 11в</t>
    </r>
  </si>
  <si>
    <t>1эт-0,50   2эт-1,00          3-16эт-1,85</t>
  </si>
  <si>
    <r>
      <t xml:space="preserve">по адресу: </t>
    </r>
    <r>
      <rPr>
        <b/>
        <sz val="10"/>
        <rFont val="Arial"/>
        <family val="2"/>
      </rPr>
      <t>ул. Транспортная, 7</t>
    </r>
  </si>
  <si>
    <t>1эт-1,64   2эт-2,30          3-10эт-3,28</t>
  </si>
  <si>
    <t>1.12. Уход за цетниками</t>
  </si>
  <si>
    <r>
      <t xml:space="preserve">по адресу: </t>
    </r>
    <r>
      <rPr>
        <b/>
        <sz val="10"/>
        <rFont val="Arial"/>
        <family val="2"/>
      </rPr>
      <t>ул. Ивановского, 14</t>
    </r>
  </si>
  <si>
    <t>1эт-1,45   2эт-2,02          3-9эт-2,89</t>
  </si>
  <si>
    <r>
      <t xml:space="preserve">по адресу: </t>
    </r>
    <r>
      <rPr>
        <b/>
        <sz val="10"/>
        <rFont val="Arial"/>
        <family val="2"/>
      </rPr>
      <t>ул. Северный городок, 50</t>
    </r>
  </si>
  <si>
    <r>
      <t xml:space="preserve">по адресу: </t>
    </r>
    <r>
      <rPr>
        <b/>
        <sz val="10"/>
        <rFont val="Arial"/>
        <family val="2"/>
      </rPr>
      <t>пер. Переездный, 2</t>
    </r>
  </si>
  <si>
    <t>1.9. Дополнительные работы по благоустройству (заказ спецтехники, уход за зелеными насаждениями и т.д.)</t>
  </si>
  <si>
    <t>1.10. Дератизация</t>
  </si>
  <si>
    <t>3. Вывоз мусора:</t>
  </si>
  <si>
    <t>3.1. Вывоз мусора</t>
  </si>
  <si>
    <t>4. Прочее:</t>
  </si>
  <si>
    <t>4.1. Комиссия за прием платежей (3% от оплаты за все услуги)</t>
  </si>
  <si>
    <t>4.2. Затраты на печать квитанций и обработку платежей</t>
  </si>
  <si>
    <t>2.1. Обслуживание газового оборудования</t>
  </si>
  <si>
    <t>2. Обслуживание газового оборудования:</t>
  </si>
  <si>
    <t>1.5. Материалы на мелкий ремонт и аварийное обслуживание</t>
  </si>
  <si>
    <t>1.6. Уборка придомовой территории</t>
  </si>
  <si>
    <t>1.7. Уборка лестничных клеток</t>
  </si>
  <si>
    <t>1.8. Дополнительные работы по благоустройству (заказ спецтехники, уход за зелеными насаждениями и т.д.)</t>
  </si>
  <si>
    <r>
      <t xml:space="preserve">по адресу: </t>
    </r>
    <r>
      <rPr>
        <b/>
        <sz val="10"/>
        <rFont val="Arial"/>
        <family val="2"/>
      </rPr>
      <t>ул. Северный городок, 53</t>
    </r>
  </si>
  <si>
    <r>
      <t xml:space="preserve">по адресу: </t>
    </r>
    <r>
      <rPr>
        <b/>
        <sz val="10"/>
        <rFont val="Arial"/>
        <family val="2"/>
      </rPr>
      <t>ул. Северный городок, 54</t>
    </r>
  </si>
  <si>
    <r>
      <t xml:space="preserve">по адресу: </t>
    </r>
    <r>
      <rPr>
        <b/>
        <sz val="10"/>
        <rFont val="Arial"/>
        <family val="2"/>
      </rPr>
      <t>ул. Железнодорожная, 60</t>
    </r>
  </si>
  <si>
    <t>Остаток на 01.02.2010г.</t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</si>
  <si>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</si>
  <si>
    <r>
      <t xml:space="preserve">по адресу: </t>
    </r>
    <r>
      <rPr>
        <b/>
        <sz val="10"/>
        <rFont val="Arial"/>
        <family val="2"/>
      </rPr>
      <t>ул. Партизанская, 21</t>
    </r>
  </si>
  <si>
    <t>3. Обслуживание приборов учета тепловой энергии:</t>
  </si>
  <si>
    <t>3.1. Обслуживание приборов учета тепловой энергии</t>
  </si>
  <si>
    <t>________________ О.Г.Урядов</t>
  </si>
  <si>
    <t>МП</t>
  </si>
  <si>
    <t>План на 2010г</t>
  </si>
  <si>
    <t>работ по содержанию и техническому обслуживанию многоквартирного жилого дома</t>
  </si>
  <si>
    <r>
      <t xml:space="preserve">по адресу: </t>
    </r>
    <r>
      <rPr>
        <b/>
        <sz val="10"/>
        <rFont val="Arial"/>
        <family val="2"/>
      </rPr>
      <t>ул. Водяная, 78 стр.7</t>
    </r>
  </si>
  <si>
    <t>Содержание, руб.</t>
  </si>
  <si>
    <t>Сумма начислений за 2010г</t>
  </si>
  <si>
    <t>Управление домом</t>
  </si>
  <si>
    <t>Расходы на печать квитанций, сбор платежей</t>
  </si>
  <si>
    <t>Плановые расходы</t>
  </si>
  <si>
    <t>Тариф по содержанию</t>
  </si>
  <si>
    <t>Содержание:</t>
  </si>
  <si>
    <t>Обслуживание конструктивных элементов</t>
  </si>
  <si>
    <t>Обслуживание электрооборудования</t>
  </si>
  <si>
    <t>Обслуживание инженерного оборудования</t>
  </si>
  <si>
    <t>Аварийное обслуживание</t>
  </si>
  <si>
    <t>Обслуживание прибора учета электроэнергии</t>
  </si>
  <si>
    <t>Материал на мелкий ремонт и аварийные вызовы</t>
  </si>
  <si>
    <t>Уборка придомовой территории</t>
  </si>
  <si>
    <t>Уборка лестничных клеток</t>
  </si>
  <si>
    <t>Дополнительные работы по благоустройству (заказ спецтехники, уход за зелеными насаждениями и т.д.)</t>
  </si>
  <si>
    <t>Прочее:</t>
  </si>
  <si>
    <t>Вывоз мусора</t>
  </si>
  <si>
    <t>нет ПУ тепла на доме!</t>
  </si>
  <si>
    <t>Остаток на 01.03.2010г.</t>
  </si>
  <si>
    <r>
      <t xml:space="preserve">по адресу: </t>
    </r>
    <r>
      <rPr>
        <b/>
        <sz val="10"/>
        <rFont val="Arial"/>
        <family val="0"/>
      </rPr>
      <t>ул. Железнодорожная, 30</t>
    </r>
  </si>
  <si>
    <r>
      <t xml:space="preserve">по адресу: </t>
    </r>
    <r>
      <rPr>
        <b/>
        <sz val="10"/>
        <rFont val="Arial"/>
        <family val="0"/>
      </rPr>
      <t>ул. Железнодорожная, 32</t>
    </r>
  </si>
  <si>
    <r>
      <t xml:space="preserve">по адресу: </t>
    </r>
    <r>
      <rPr>
        <b/>
        <sz val="10"/>
        <rFont val="Arial"/>
        <family val="0"/>
      </rPr>
      <t>ул. Вокзальная, 25</t>
    </r>
  </si>
  <si>
    <r>
      <t xml:space="preserve">по адресу: </t>
    </r>
    <r>
      <rPr>
        <b/>
        <sz val="10"/>
        <rFont val="Arial"/>
        <family val="0"/>
      </rPr>
      <t>ул. Вокзальная, 43</t>
    </r>
  </si>
  <si>
    <t>Остаток на 01.04.2010г.</t>
  </si>
  <si>
    <r>
      <t xml:space="preserve">по адресу: </t>
    </r>
    <r>
      <rPr>
        <b/>
        <sz val="10"/>
        <rFont val="Arial"/>
        <family val="0"/>
      </rPr>
      <t>ул. Пушкина, 73</t>
    </r>
  </si>
  <si>
    <r>
      <t xml:space="preserve">по адресу: </t>
    </r>
    <r>
      <rPr>
        <b/>
        <sz val="10"/>
        <rFont val="Arial"/>
        <family val="0"/>
      </rPr>
      <t>пер. Новый, 1</t>
    </r>
  </si>
  <si>
    <r>
      <t xml:space="preserve">по адресу: </t>
    </r>
    <r>
      <rPr>
        <b/>
        <sz val="10"/>
        <rFont val="Arial"/>
        <family val="0"/>
      </rPr>
      <t>ул. 79 Гвардейской Дивизии, 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</si>
</sst>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0" xfId="0" applyNumberFormat="1" applyFill="1" applyAlignment="1">
      <alignment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0" fontId="0" fillId="0" borderId="1" xfId="0" applyFill="1" applyBorder="1" applyAlignment="1" quotePrefix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2" fillId="2" borderId="1" xfId="0" applyFont="1" applyFill="1" applyBorder="1" applyAlignment="1" quotePrefix="1">
      <alignment horizontal="left"/>
    </xf>
    <xf numFmtId="0" fontId="0" fillId="0" borderId="1" xfId="0" applyFill="1" applyBorder="1" applyAlignment="1" quotePrefix="1">
      <alignment horizontal="left" vertical="top"/>
    </xf>
    <xf numFmtId="0" fontId="0" fillId="0" borderId="1" xfId="0" applyFill="1" applyBorder="1" applyAlignment="1" quotePrefix="1">
      <alignment horizontal="left" vertical="top" wrapText="1"/>
    </xf>
    <xf numFmtId="0" fontId="2" fillId="0" borderId="1" xfId="0" applyFont="1" applyFill="1" applyBorder="1" applyAlignment="1" quotePrefix="1">
      <alignment horizontal="left" vertical="top"/>
    </xf>
    <xf numFmtId="2" fontId="0" fillId="0" borderId="1" xfId="0" applyNumberFormat="1" applyFill="1" applyBorder="1" applyAlignment="1" quotePrefix="1">
      <alignment horizontal="left" vertical="top"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left" wrapText="1"/>
    </xf>
    <xf numFmtId="3" fontId="5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left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left" vertical="top" wrapText="1"/>
    </xf>
    <xf numFmtId="18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9">
      <selection activeCell="L37" sqref="L37"/>
    </sheetView>
  </sheetViews>
  <sheetFormatPr defaultColWidth="9.140625" defaultRowHeight="12.75"/>
  <cols>
    <col min="1" max="1" width="40.28125" style="1" customWidth="1"/>
    <col min="2" max="2" width="12.140625" style="1" customWidth="1"/>
    <col min="3" max="16384" width="9.140625" style="1" customWidth="1"/>
  </cols>
  <sheetData>
    <row r="1" spans="1:7" ht="12.75">
      <c r="A1" s="1" t="s">
        <v>0</v>
      </c>
      <c r="G1" s="1" t="s">
        <v>0</v>
      </c>
    </row>
    <row r="2" ht="12.75">
      <c r="H2" s="2"/>
    </row>
    <row r="3" spans="1:7" ht="12.75">
      <c r="A3" s="3" t="s">
        <v>1</v>
      </c>
      <c r="G3" s="4" t="s">
        <v>2</v>
      </c>
    </row>
    <row r="4" ht="12.75">
      <c r="H4" s="2"/>
    </row>
    <row r="6" spans="1:8" ht="12.75">
      <c r="A6" s="3" t="s">
        <v>3</v>
      </c>
      <c r="G6" s="1" t="s">
        <v>96</v>
      </c>
      <c r="H6" s="2"/>
    </row>
    <row r="7" spans="1:8" ht="12.75">
      <c r="A7" s="3"/>
      <c r="G7" s="5" t="s">
        <v>97</v>
      </c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98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99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100</v>
      </c>
      <c r="B15" s="108"/>
      <c r="C15" s="108"/>
      <c r="D15" s="108"/>
      <c r="E15" s="108"/>
      <c r="F15" s="108"/>
      <c r="G15" s="108"/>
      <c r="H15" s="108"/>
      <c r="I15" s="108"/>
    </row>
    <row r="17" spans="1:2" ht="25.5">
      <c r="A17" s="6"/>
      <c r="B17" s="7" t="s">
        <v>101</v>
      </c>
    </row>
    <row r="18" spans="1:2" ht="12.75">
      <c r="A18" s="8" t="s">
        <v>5</v>
      </c>
      <c r="B18" s="9">
        <v>-12821</v>
      </c>
    </row>
    <row r="19" spans="1:2" ht="12.75">
      <c r="A19" s="8" t="s">
        <v>102</v>
      </c>
      <c r="B19" s="9">
        <f>109098+9819</f>
        <v>118917</v>
      </c>
    </row>
    <row r="20" spans="1:2" ht="12.75">
      <c r="A20" s="8" t="s">
        <v>103</v>
      </c>
      <c r="B20" s="9">
        <f>4800*12</f>
        <v>57600</v>
      </c>
    </row>
    <row r="21" spans="1:4" ht="12.75">
      <c r="A21" s="10" t="s">
        <v>104</v>
      </c>
      <c r="B21" s="9">
        <f>4386+1080</f>
        <v>5466</v>
      </c>
      <c r="D21" s="11"/>
    </row>
    <row r="22" spans="1:4" ht="12.75">
      <c r="A22" s="52" t="s">
        <v>105</v>
      </c>
      <c r="B22" s="12">
        <f>B18+B19-B20-B21</f>
        <v>43030</v>
      </c>
      <c r="D22" s="11"/>
    </row>
    <row r="23" spans="1:2" ht="12.75">
      <c r="A23" s="8" t="s">
        <v>106</v>
      </c>
      <c r="B23" s="13">
        <v>20</v>
      </c>
    </row>
    <row r="24" spans="1:2" ht="12.75">
      <c r="A24" s="8" t="s">
        <v>6</v>
      </c>
      <c r="B24" s="13">
        <v>1.8</v>
      </c>
    </row>
    <row r="25" spans="1:2" ht="12.75">
      <c r="A25" s="14"/>
      <c r="B25" s="15"/>
    </row>
    <row r="26" spans="1:9" ht="27" customHeight="1">
      <c r="A26" s="109" t="s">
        <v>7</v>
      </c>
      <c r="B26" s="110" t="s">
        <v>8</v>
      </c>
      <c r="C26" s="109" t="s">
        <v>9</v>
      </c>
      <c r="D26" s="110" t="s">
        <v>10</v>
      </c>
      <c r="E26" s="111" t="s">
        <v>11</v>
      </c>
      <c r="F26" s="112"/>
      <c r="G26" s="112"/>
      <c r="H26" s="113"/>
      <c r="I26" s="109" t="s">
        <v>12</v>
      </c>
    </row>
    <row r="27" spans="1:9" ht="12.75">
      <c r="A27" s="110"/>
      <c r="B27" s="110"/>
      <c r="C27" s="110"/>
      <c r="D27" s="110"/>
      <c r="E27" s="17" t="s">
        <v>13</v>
      </c>
      <c r="F27" s="18" t="s">
        <v>14</v>
      </c>
      <c r="G27" s="18" t="s">
        <v>15</v>
      </c>
      <c r="H27" s="18" t="s">
        <v>16</v>
      </c>
      <c r="I27" s="110"/>
    </row>
    <row r="28" spans="1:9" ht="12.75">
      <c r="A28" s="19" t="s">
        <v>107</v>
      </c>
      <c r="B28" s="16"/>
      <c r="C28" s="16"/>
      <c r="D28" s="16"/>
      <c r="E28" s="17"/>
      <c r="F28" s="18"/>
      <c r="G28" s="18"/>
      <c r="H28" s="18"/>
      <c r="I28" s="16"/>
    </row>
    <row r="29" spans="1:9" ht="12.75">
      <c r="A29" s="20" t="s">
        <v>108</v>
      </c>
      <c r="B29" s="21"/>
      <c r="C29" s="22"/>
      <c r="D29" s="17"/>
      <c r="E29" s="23"/>
      <c r="F29" s="23">
        <v>1000</v>
      </c>
      <c r="G29" s="23">
        <v>500</v>
      </c>
      <c r="H29" s="23"/>
      <c r="I29" s="9">
        <f aca="true" t="shared" si="0" ref="I29:I37">SUM(E29:H29)</f>
        <v>1500</v>
      </c>
    </row>
    <row r="30" spans="1:9" ht="25.5">
      <c r="A30" s="53" t="s">
        <v>109</v>
      </c>
      <c r="B30" s="21" t="s">
        <v>17</v>
      </c>
      <c r="C30" s="22">
        <v>0.91</v>
      </c>
      <c r="D30" s="24">
        <v>478.5</v>
      </c>
      <c r="E30" s="23">
        <f>$C$30*$D$30*3</f>
        <v>1306.305</v>
      </c>
      <c r="F30" s="23">
        <f>$C$30*$D$30*3</f>
        <v>1306.305</v>
      </c>
      <c r="G30" s="23">
        <f>$C$30*$D$30*3</f>
        <v>1306.305</v>
      </c>
      <c r="H30" s="23">
        <f>$C$30*$D$30*3</f>
        <v>1306.305</v>
      </c>
      <c r="I30" s="9">
        <f t="shared" si="0"/>
        <v>5225.22</v>
      </c>
    </row>
    <row r="31" spans="1:9" ht="25.5">
      <c r="A31" s="53" t="s">
        <v>110</v>
      </c>
      <c r="B31" s="21" t="s">
        <v>17</v>
      </c>
      <c r="C31" s="22">
        <v>1.55</v>
      </c>
      <c r="D31" s="24">
        <v>478.5</v>
      </c>
      <c r="E31" s="23">
        <f>$C$31*$D$31*3</f>
        <v>2225.025</v>
      </c>
      <c r="F31" s="23">
        <f>$C$31*$D$31*3</f>
        <v>2225.025</v>
      </c>
      <c r="G31" s="23">
        <f>$C$31*$D$31*3</f>
        <v>2225.025</v>
      </c>
      <c r="H31" s="23">
        <f>$C$31*$D$31*3</f>
        <v>2225.025</v>
      </c>
      <c r="I31" s="9">
        <f t="shared" si="0"/>
        <v>8900.1</v>
      </c>
    </row>
    <row r="32" spans="1:9" ht="25.5">
      <c r="A32" s="20" t="s">
        <v>111</v>
      </c>
      <c r="B32" s="21" t="s">
        <v>17</v>
      </c>
      <c r="C32" s="22">
        <v>0.54</v>
      </c>
      <c r="D32" s="24">
        <v>478.5</v>
      </c>
      <c r="E32" s="23">
        <f>$C$32*$D$32*3</f>
        <v>775.1700000000001</v>
      </c>
      <c r="F32" s="23">
        <f>$C$32*$D$32*3</f>
        <v>775.1700000000001</v>
      </c>
      <c r="G32" s="23">
        <f>$C$32*$D$32*3</f>
        <v>775.1700000000001</v>
      </c>
      <c r="H32" s="23">
        <f>$C$32*$D$32*3</f>
        <v>775.1700000000001</v>
      </c>
      <c r="I32" s="9">
        <f t="shared" si="0"/>
        <v>3100.6800000000003</v>
      </c>
    </row>
    <row r="33" spans="1:9" ht="25.5">
      <c r="A33" s="53" t="s">
        <v>112</v>
      </c>
      <c r="B33" s="21" t="s">
        <v>17</v>
      </c>
      <c r="C33" s="25">
        <v>0.3</v>
      </c>
      <c r="D33" s="24">
        <v>478.5</v>
      </c>
      <c r="E33" s="23">
        <f>$C$33*$D$33*3</f>
        <v>430.65</v>
      </c>
      <c r="F33" s="23">
        <f>$C$33*$D$33*3</f>
        <v>430.65</v>
      </c>
      <c r="G33" s="23">
        <f>$C$33*$D$33*3</f>
        <v>430.65</v>
      </c>
      <c r="H33" s="23">
        <f>$C$33*$D$33*3</f>
        <v>430.65</v>
      </c>
      <c r="I33" s="9">
        <f t="shared" si="0"/>
        <v>1722.6</v>
      </c>
    </row>
    <row r="34" spans="1:9" ht="25.5">
      <c r="A34" s="26" t="s">
        <v>113</v>
      </c>
      <c r="B34" s="17"/>
      <c r="C34" s="17"/>
      <c r="D34" s="17"/>
      <c r="E34" s="23">
        <v>300</v>
      </c>
      <c r="F34" s="23">
        <v>500</v>
      </c>
      <c r="G34" s="23">
        <v>500</v>
      </c>
      <c r="H34" s="23">
        <v>300</v>
      </c>
      <c r="I34" s="9">
        <f t="shared" si="0"/>
        <v>1600</v>
      </c>
    </row>
    <row r="35" spans="1:10" ht="25.5">
      <c r="A35" s="54" t="s">
        <v>114</v>
      </c>
      <c r="B35" s="21" t="s">
        <v>17</v>
      </c>
      <c r="C35" s="22">
        <v>2.75</v>
      </c>
      <c r="D35" s="24">
        <v>478.5</v>
      </c>
      <c r="E35" s="23">
        <f>$C$35*$D$35*3</f>
        <v>3947.625</v>
      </c>
      <c r="F35" s="23">
        <f>$C$35*$D$35*3</f>
        <v>3947.625</v>
      </c>
      <c r="G35" s="23">
        <f>$C$35*$D$35*3</f>
        <v>3947.625</v>
      </c>
      <c r="H35" s="23">
        <f>$C$35*$D$35*3</f>
        <v>3947.625</v>
      </c>
      <c r="I35" s="9">
        <f t="shared" si="0"/>
        <v>15790.5</v>
      </c>
      <c r="J35" s="27"/>
    </row>
    <row r="36" spans="1:9" ht="25.5">
      <c r="A36" s="54" t="s">
        <v>115</v>
      </c>
      <c r="B36" s="21" t="s">
        <v>17</v>
      </c>
      <c r="C36" s="22">
        <v>1.25</v>
      </c>
      <c r="D36" s="24">
        <v>478.5</v>
      </c>
      <c r="E36" s="23">
        <f>$C$36*$D$36*3</f>
        <v>1794.375</v>
      </c>
      <c r="F36" s="23">
        <f>$C$36*$D$36*3</f>
        <v>1794.375</v>
      </c>
      <c r="G36" s="23">
        <f>$C$36*$D$36*3</f>
        <v>1794.375</v>
      </c>
      <c r="H36" s="23">
        <f>$C$36*$D$36*3</f>
        <v>1794.375</v>
      </c>
      <c r="I36" s="9">
        <f t="shared" si="0"/>
        <v>7177.5</v>
      </c>
    </row>
    <row r="37" spans="1:9" ht="38.25">
      <c r="A37" s="54" t="s">
        <v>116</v>
      </c>
      <c r="B37" s="17"/>
      <c r="C37" s="17"/>
      <c r="D37" s="17"/>
      <c r="E37" s="9"/>
      <c r="F37" s="9">
        <v>1000</v>
      </c>
      <c r="G37" s="9"/>
      <c r="H37" s="9"/>
      <c r="I37" s="9">
        <f t="shared" si="0"/>
        <v>1000</v>
      </c>
    </row>
    <row r="38" spans="1:9" ht="12.75">
      <c r="A38" s="55" t="s">
        <v>117</v>
      </c>
      <c r="B38" s="28"/>
      <c r="C38" s="29"/>
      <c r="D38" s="30"/>
      <c r="E38" s="9"/>
      <c r="F38" s="9"/>
      <c r="G38" s="9"/>
      <c r="H38" s="9"/>
      <c r="I38" s="9"/>
    </row>
    <row r="39" spans="1:9" ht="25.5">
      <c r="A39" s="56" t="s">
        <v>118</v>
      </c>
      <c r="B39" s="21" t="s">
        <v>17</v>
      </c>
      <c r="C39" s="49">
        <v>1.62</v>
      </c>
      <c r="D39" s="24">
        <v>478.5</v>
      </c>
      <c r="E39" s="23">
        <f>($C$39*$D$39*3)</f>
        <v>2325.51</v>
      </c>
      <c r="F39" s="23">
        <f>($C$39*$D$39*3)</f>
        <v>2325.51</v>
      </c>
      <c r="G39" s="23">
        <f>($C$39*$D$39*3)</f>
        <v>2325.51</v>
      </c>
      <c r="H39" s="23">
        <f>($C$39*$D$39*3)</f>
        <v>2325.51</v>
      </c>
      <c r="I39" s="9">
        <f>SUM(E39:H39)</f>
        <v>9302.04</v>
      </c>
    </row>
    <row r="40" spans="1:9" ht="12.75">
      <c r="A40" s="32" t="s">
        <v>20</v>
      </c>
      <c r="B40" s="33"/>
      <c r="C40" s="34"/>
      <c r="D40" s="33"/>
      <c r="E40" s="12">
        <f>SUM(E29:E39)</f>
        <v>13104.66</v>
      </c>
      <c r="F40" s="12">
        <f>SUM(F29:F39)</f>
        <v>15304.66</v>
      </c>
      <c r="G40" s="12">
        <f>SUM(G29:G39)</f>
        <v>13804.66</v>
      </c>
      <c r="H40" s="12">
        <f>SUM(H29:H39)</f>
        <v>13104.66</v>
      </c>
      <c r="I40" s="12">
        <f>SUM(I29:I39)</f>
        <v>55318.64</v>
      </c>
    </row>
    <row r="41" spans="1:9" ht="12.75">
      <c r="A41" s="57" t="s">
        <v>103</v>
      </c>
      <c r="B41" s="6"/>
      <c r="C41" s="35"/>
      <c r="D41" s="6"/>
      <c r="E41" s="36">
        <v>14400</v>
      </c>
      <c r="F41" s="36">
        <v>14400</v>
      </c>
      <c r="G41" s="36">
        <v>14400</v>
      </c>
      <c r="H41" s="36">
        <v>14400</v>
      </c>
      <c r="I41" s="36">
        <f>SUM(E41:H41)</f>
        <v>57600</v>
      </c>
    </row>
    <row r="42" spans="1:9" ht="12.75">
      <c r="A42" s="10" t="s">
        <v>104</v>
      </c>
      <c r="B42" s="6"/>
      <c r="C42" s="35"/>
      <c r="D42" s="6"/>
      <c r="E42" s="36">
        <v>1366</v>
      </c>
      <c r="F42" s="36">
        <v>1366</v>
      </c>
      <c r="G42" s="36">
        <v>1367</v>
      </c>
      <c r="H42" s="36">
        <v>1367</v>
      </c>
      <c r="I42" s="36">
        <f>SUM(E42:H42)</f>
        <v>5466</v>
      </c>
    </row>
    <row r="43" spans="1:9" ht="12.75">
      <c r="A43" s="37" t="s">
        <v>21</v>
      </c>
      <c r="B43" s="6"/>
      <c r="C43" s="35"/>
      <c r="D43" s="6"/>
      <c r="E43" s="38">
        <f>SUM(E40:E42)</f>
        <v>28870.66</v>
      </c>
      <c r="F43" s="38">
        <f>SUM(F40:F42)</f>
        <v>31070.66</v>
      </c>
      <c r="G43" s="38">
        <f>SUM(G40:G42)</f>
        <v>29571.66</v>
      </c>
      <c r="H43" s="38">
        <f>SUM(H40:H42)</f>
        <v>28871.66</v>
      </c>
      <c r="I43" s="38">
        <f>SUM(I40:I42)</f>
        <v>118384.64</v>
      </c>
    </row>
    <row r="44" spans="1:9" ht="12.75">
      <c r="A44" s="39" t="s">
        <v>22</v>
      </c>
      <c r="B44" s="39"/>
      <c r="C44" s="39"/>
      <c r="D44" s="39"/>
      <c r="E44" s="39"/>
      <c r="F44" s="39"/>
      <c r="G44" s="39"/>
      <c r="H44" s="39"/>
      <c r="I44" s="40">
        <f>B22-I40</f>
        <v>-12288.64</v>
      </c>
    </row>
    <row r="46" spans="1:5" ht="12.75">
      <c r="A46" s="41"/>
      <c r="E46" s="11"/>
    </row>
    <row r="48" ht="12.75">
      <c r="A48" s="51"/>
    </row>
  </sheetData>
  <mergeCells count="9">
    <mergeCell ref="A13:I13"/>
    <mergeCell ref="A14:I14"/>
    <mergeCell ref="A15:I15"/>
    <mergeCell ref="A26:A27"/>
    <mergeCell ref="B26:B27"/>
    <mergeCell ref="C26:C27"/>
    <mergeCell ref="D26:D27"/>
    <mergeCell ref="E26:H26"/>
    <mergeCell ref="I26:I2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4">
      <selection activeCell="B21" sqref="B21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65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-167770.7</v>
      </c>
    </row>
    <row r="19" spans="1:2" ht="25.5">
      <c r="A19" s="42" t="s">
        <v>24</v>
      </c>
      <c r="B19" s="9">
        <v>192325.44</v>
      </c>
    </row>
    <row r="20" spans="1:2" ht="25.5">
      <c r="A20" s="42" t="s">
        <v>25</v>
      </c>
      <c r="B20" s="9">
        <v>22906.18</v>
      </c>
    </row>
    <row r="21" spans="1:2" ht="25.5">
      <c r="A21" s="42" t="s">
        <v>26</v>
      </c>
      <c r="B21" s="9">
        <v>116259.65</v>
      </c>
    </row>
    <row r="22" spans="1:2" ht="12.75">
      <c r="A22" s="42" t="s">
        <v>27</v>
      </c>
      <c r="B22" s="9">
        <v>77794.56</v>
      </c>
    </row>
    <row r="23" spans="1:2" ht="12.75">
      <c r="A23" s="10" t="s">
        <v>35</v>
      </c>
      <c r="B23" s="9">
        <f>(B19+B20+B21+B22)*10%</f>
        <v>40928.583000000006</v>
      </c>
    </row>
    <row r="24" spans="1:2" ht="12.75">
      <c r="A24" s="43" t="s">
        <v>28</v>
      </c>
      <c r="B24" s="12">
        <f>B18+B19+B20+B21+B22-B23</f>
        <v>200586.54699999996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2.69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aca="true" t="shared" si="0" ref="I33:I43">SUM(E33:H33)</f>
        <v>4000</v>
      </c>
    </row>
    <row r="34" spans="1:9" ht="25.5">
      <c r="A34" s="47" t="s">
        <v>38</v>
      </c>
      <c r="B34" s="21" t="s">
        <v>17</v>
      </c>
      <c r="C34" s="22">
        <v>0.42</v>
      </c>
      <c r="D34" s="24">
        <v>3601.6</v>
      </c>
      <c r="E34" s="23">
        <f>$C$34*$D$34*3</f>
        <v>4538.016</v>
      </c>
      <c r="F34" s="23">
        <f>$C$34*$D$34*3</f>
        <v>4538.016</v>
      </c>
      <c r="G34" s="23">
        <f>$C$34*$D$34*3</f>
        <v>4538.016</v>
      </c>
      <c r="H34" s="23">
        <f>$C$34*$D$34*3</f>
        <v>4538.016</v>
      </c>
      <c r="I34" s="9">
        <f t="shared" si="0"/>
        <v>18152.064</v>
      </c>
    </row>
    <row r="35" spans="1:9" ht="25.5">
      <c r="A35" s="47" t="s">
        <v>39</v>
      </c>
      <c r="B35" s="21" t="s">
        <v>17</v>
      </c>
      <c r="C35" s="22">
        <v>0.71</v>
      </c>
      <c r="D35" s="24">
        <v>3601.6</v>
      </c>
      <c r="E35" s="23">
        <f>$C$35*$D$35*3</f>
        <v>7671.407999999999</v>
      </c>
      <c r="F35" s="23">
        <f>$C$35*$D$35*3</f>
        <v>7671.407999999999</v>
      </c>
      <c r="G35" s="23">
        <f>$C$35*$D$35*3</f>
        <v>7671.407999999999</v>
      </c>
      <c r="H35" s="23">
        <f>$C$35*$D$35*3</f>
        <v>7671.407999999999</v>
      </c>
      <c r="I35" s="9">
        <f t="shared" si="0"/>
        <v>30685.631999999998</v>
      </c>
    </row>
    <row r="36" spans="1:9" ht="25.5">
      <c r="A36" s="20" t="s">
        <v>40</v>
      </c>
      <c r="B36" s="21" t="s">
        <v>17</v>
      </c>
      <c r="C36" s="22">
        <v>0.25</v>
      </c>
      <c r="D36" s="24">
        <v>3601.6</v>
      </c>
      <c r="E36" s="23">
        <f>$C$36*$D$36*3</f>
        <v>2701.2</v>
      </c>
      <c r="F36" s="23">
        <f>$C$36*$D$36*3</f>
        <v>2701.2</v>
      </c>
      <c r="G36" s="23">
        <f>$C$36*$D$36*3</f>
        <v>2701.2</v>
      </c>
      <c r="H36" s="23">
        <f>$C$36*$D$36*3</f>
        <v>2701.2</v>
      </c>
      <c r="I36" s="9">
        <f t="shared" si="0"/>
        <v>10804.8</v>
      </c>
    </row>
    <row r="37" spans="1:9" ht="25.5">
      <c r="A37" s="47" t="s">
        <v>41</v>
      </c>
      <c r="B37" s="21" t="s">
        <v>17</v>
      </c>
      <c r="C37" s="25">
        <v>0.3</v>
      </c>
      <c r="D37" s="24">
        <v>3601.6</v>
      </c>
      <c r="E37" s="23">
        <f>$C$37*$D$37*3</f>
        <v>3241.44</v>
      </c>
      <c r="F37" s="23">
        <f>$C$37*$D$37*3</f>
        <v>3241.44</v>
      </c>
      <c r="G37" s="23">
        <f>$C$37*$D$37*3</f>
        <v>3241.44</v>
      </c>
      <c r="H37" s="23">
        <f>$C$37*$D$37*3</f>
        <v>3241.44</v>
      </c>
      <c r="I37" s="9">
        <f t="shared" si="0"/>
        <v>12965.76</v>
      </c>
    </row>
    <row r="38" spans="1:9" ht="25.5">
      <c r="A38" s="26" t="s">
        <v>42</v>
      </c>
      <c r="B38" s="17"/>
      <c r="C38" s="17"/>
      <c r="D38" s="17"/>
      <c r="E38" s="23">
        <v>1000</v>
      </c>
      <c r="F38" s="23">
        <v>1000</v>
      </c>
      <c r="G38" s="23">
        <v>1000</v>
      </c>
      <c r="H38" s="23">
        <v>1000</v>
      </c>
      <c r="I38" s="9">
        <f t="shared" si="0"/>
        <v>4000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v>3601.6</v>
      </c>
      <c r="E39" s="23">
        <f>$C$39*$D$39*3</f>
        <v>7023.12</v>
      </c>
      <c r="F39" s="23">
        <f>$C$39*$D$39*3</f>
        <v>7023.12</v>
      </c>
      <c r="G39" s="23">
        <f>$C$39*$D$39*3</f>
        <v>7023.12</v>
      </c>
      <c r="H39" s="23">
        <f>$C$39*$D$39*3</f>
        <v>7023.12</v>
      </c>
      <c r="I39" s="9">
        <f t="shared" si="0"/>
        <v>28092.48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v>3601.6</v>
      </c>
      <c r="E40" s="23">
        <f>$C$40*$D$40*3</f>
        <v>5942.64</v>
      </c>
      <c r="F40" s="23">
        <f>$C$40*$D$40*3</f>
        <v>5942.64</v>
      </c>
      <c r="G40" s="23">
        <f>$C$40*$D$40*3</f>
        <v>5942.64</v>
      </c>
      <c r="H40" s="23">
        <f>$C$40*$D$40*3</f>
        <v>5942.64</v>
      </c>
      <c r="I40" s="9">
        <f t="shared" si="0"/>
        <v>23770.56</v>
      </c>
    </row>
    <row r="41" spans="1:9" ht="12.75">
      <c r="A41" s="20" t="s">
        <v>45</v>
      </c>
      <c r="B41" s="17" t="s">
        <v>18</v>
      </c>
      <c r="C41" s="17">
        <v>150</v>
      </c>
      <c r="D41" s="17">
        <v>1</v>
      </c>
      <c r="E41" s="9">
        <f>$C$41*$D$41*3</f>
        <v>450</v>
      </c>
      <c r="F41" s="9">
        <f>$C$41*$D$41*3</f>
        <v>450</v>
      </c>
      <c r="G41" s="9">
        <f>$C$41*$D$41*3</f>
        <v>450</v>
      </c>
      <c r="H41" s="9">
        <f>$C$41*$D$41*3</f>
        <v>450</v>
      </c>
      <c r="I41" s="9">
        <f t="shared" si="0"/>
        <v>1800</v>
      </c>
    </row>
    <row r="42" spans="1:9" ht="25.5">
      <c r="A42" s="48" t="s">
        <v>46</v>
      </c>
      <c r="B42" s="17"/>
      <c r="C42" s="17"/>
      <c r="D42" s="17"/>
      <c r="E42" s="23">
        <v>1000</v>
      </c>
      <c r="F42" s="23">
        <v>1000</v>
      </c>
      <c r="G42" s="23">
        <v>1000</v>
      </c>
      <c r="H42" s="23">
        <v>1000</v>
      </c>
      <c r="I42" s="9">
        <f t="shared" si="0"/>
        <v>4000</v>
      </c>
    </row>
    <row r="43" spans="1:9" ht="12.75">
      <c r="A43" s="20" t="s">
        <v>47</v>
      </c>
      <c r="B43" s="28" t="s">
        <v>19</v>
      </c>
      <c r="C43" s="29">
        <v>1</v>
      </c>
      <c r="D43" s="30">
        <v>250</v>
      </c>
      <c r="E43" s="9"/>
      <c r="F43" s="9">
        <f>C43*D43/2</f>
        <v>125</v>
      </c>
      <c r="G43" s="9"/>
      <c r="H43" s="9">
        <f>C43/2*D43</f>
        <v>125</v>
      </c>
      <c r="I43" s="9">
        <f t="shared" si="0"/>
        <v>250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3601.6</v>
      </c>
      <c r="E45" s="23">
        <f>$C$45*$D$45*3</f>
        <v>5186.303999999999</v>
      </c>
      <c r="F45" s="23">
        <f>$C$45*$D$45*3</f>
        <v>5186.303999999999</v>
      </c>
      <c r="G45" s="23">
        <f>$C$45*$D$45*3</f>
        <v>5186.303999999999</v>
      </c>
      <c r="H45" s="23">
        <f>$C$45*$D$45*3</f>
        <v>5186.303999999999</v>
      </c>
      <c r="I45" s="9">
        <f>SUM(E45:H45)</f>
        <v>20745.215999999997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4500</v>
      </c>
      <c r="D47" s="30">
        <v>1</v>
      </c>
      <c r="E47" s="23">
        <f>$C$47*$D$47*3</f>
        <v>13500</v>
      </c>
      <c r="F47" s="23">
        <f>$C$47*$D$47*3</f>
        <v>13500</v>
      </c>
      <c r="G47" s="23">
        <f>$C$47*$D$47*3</f>
        <v>13500</v>
      </c>
      <c r="H47" s="23">
        <f>$C$47*$D$47*3</f>
        <v>13500</v>
      </c>
      <c r="I47" s="9">
        <f>SUM(E47:H47)</f>
        <v>54000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3601.6</v>
      </c>
      <c r="E49" s="23">
        <f>$C$49*$D$49*3</f>
        <v>17503.776</v>
      </c>
      <c r="F49" s="23">
        <f>$C$49*$D$49*3</f>
        <v>17503.776</v>
      </c>
      <c r="G49" s="23">
        <f>$C$49*$D$49*3</f>
        <v>17503.776</v>
      </c>
      <c r="H49" s="23">
        <f>$C$49*$D$49*3</f>
        <v>17503.776</v>
      </c>
      <c r="I49" s="9">
        <f>SUM(E49:H49)</f>
        <v>70015.104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3880</v>
      </c>
      <c r="F51" s="9">
        <v>3880</v>
      </c>
      <c r="G51" s="9">
        <v>3880</v>
      </c>
      <c r="H51" s="9">
        <v>3880</v>
      </c>
      <c r="I51" s="9">
        <f>SUM(E51:H51)</f>
        <v>15520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69</v>
      </c>
      <c r="E52" s="23">
        <f>$C$52*$D$52*3</f>
        <v>814.9109759999999</v>
      </c>
      <c r="F52" s="23">
        <f>$C$52*$D$52*3</f>
        <v>814.9109759999999</v>
      </c>
      <c r="G52" s="23">
        <f>$C$52*$D$52*3</f>
        <v>814.9109759999999</v>
      </c>
      <c r="H52" s="23">
        <f>$C$52*$D$52*3</f>
        <v>814.9109759999999</v>
      </c>
      <c r="I52" s="9">
        <f>SUM(E52:H52)</f>
        <v>3259.6439039999996</v>
      </c>
    </row>
    <row r="53" spans="1:9" ht="12.75">
      <c r="A53" s="32" t="s">
        <v>20</v>
      </c>
      <c r="B53" s="33"/>
      <c r="C53" s="34"/>
      <c r="D53" s="33"/>
      <c r="E53" s="12">
        <f>SUM(E33:E52)</f>
        <v>75452.814976</v>
      </c>
      <c r="F53" s="12">
        <f>SUM(F33:F52)</f>
        <v>75577.814976</v>
      </c>
      <c r="G53" s="12">
        <f>SUM(G33:G52)</f>
        <v>75452.814976</v>
      </c>
      <c r="H53" s="12">
        <f>SUM(H33:H52)</f>
        <v>75577.814976</v>
      </c>
      <c r="I53" s="12">
        <f>SUM(I33:I52)</f>
        <v>302061.259904</v>
      </c>
    </row>
    <row r="54" spans="1:9" ht="12.75">
      <c r="A54" s="10" t="s">
        <v>35</v>
      </c>
      <c r="B54" s="6"/>
      <c r="C54" s="35"/>
      <c r="D54" s="6"/>
      <c r="E54" s="36">
        <v>10232</v>
      </c>
      <c r="F54" s="36">
        <v>10232</v>
      </c>
      <c r="G54" s="36">
        <v>10232</v>
      </c>
      <c r="H54" s="36">
        <v>10233</v>
      </c>
      <c r="I54" s="36">
        <f>SUM(E54:H54)</f>
        <v>40929</v>
      </c>
    </row>
    <row r="55" spans="1:9" ht="12.75">
      <c r="A55" s="37" t="s">
        <v>21</v>
      </c>
      <c r="B55" s="6"/>
      <c r="C55" s="35"/>
      <c r="D55" s="6"/>
      <c r="E55" s="38">
        <f>SUM(E53:E54)</f>
        <v>85684.814976</v>
      </c>
      <c r="F55" s="38">
        <f>SUM(F53:F54)</f>
        <v>85809.814976</v>
      </c>
      <c r="G55" s="38">
        <f>SUM(G53:G54)</f>
        <v>85684.814976</v>
      </c>
      <c r="H55" s="38">
        <f>SUM(H53:H54)</f>
        <v>85810.814976</v>
      </c>
      <c r="I55" s="38">
        <f>SUM(I53:I54)</f>
        <v>342990.259904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-101474.71290400001</v>
      </c>
    </row>
    <row r="58" spans="1:5" ht="12.75">
      <c r="A58" s="41"/>
      <c r="E58" s="11"/>
    </row>
    <row r="59" ht="12.75">
      <c r="A59" s="5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B21" sqref="B21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66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-20748.28</v>
      </c>
    </row>
    <row r="19" spans="1:2" ht="25.5">
      <c r="A19" s="42" t="s">
        <v>24</v>
      </c>
      <c r="B19" s="9">
        <v>222378.96</v>
      </c>
    </row>
    <row r="20" spans="1:2" ht="25.5">
      <c r="A20" s="42" t="s">
        <v>25</v>
      </c>
      <c r="B20" s="9">
        <v>26485.58</v>
      </c>
    </row>
    <row r="21" spans="1:2" ht="25.5">
      <c r="A21" s="42" t="s">
        <v>26</v>
      </c>
      <c r="B21" s="9">
        <f>1512.6+3129.6+81063.3</f>
        <v>85705.5</v>
      </c>
    </row>
    <row r="22" spans="1:2" ht="12.75">
      <c r="A22" s="42" t="s">
        <v>27</v>
      </c>
      <c r="B22" s="9">
        <v>89951.04</v>
      </c>
    </row>
    <row r="23" spans="1:2" ht="12.75">
      <c r="A23" s="10" t="s">
        <v>35</v>
      </c>
      <c r="B23" s="9">
        <f>(B19+B20+B21+B22)*10%</f>
        <v>42452.108</v>
      </c>
    </row>
    <row r="24" spans="1:2" ht="12.75">
      <c r="A24" s="43" t="s">
        <v>28</v>
      </c>
      <c r="B24" s="12">
        <f>B18+B19+B20+B21+B22-B23</f>
        <v>361320.692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38.25">
      <c r="A27" s="42" t="s">
        <v>31</v>
      </c>
      <c r="B27" s="50" t="s">
        <v>67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2000</v>
      </c>
      <c r="F33" s="23">
        <v>2000</v>
      </c>
      <c r="G33" s="23">
        <v>2000</v>
      </c>
      <c r="H33" s="23">
        <v>2000</v>
      </c>
      <c r="I33" s="9">
        <f aca="true" t="shared" si="0" ref="I33:I43">SUM(E33:H33)</f>
        <v>8000</v>
      </c>
    </row>
    <row r="34" spans="1:9" ht="25.5">
      <c r="A34" s="47" t="s">
        <v>38</v>
      </c>
      <c r="B34" s="21" t="s">
        <v>17</v>
      </c>
      <c r="C34" s="22">
        <v>0.42</v>
      </c>
      <c r="D34" s="24">
        <v>4164.4</v>
      </c>
      <c r="E34" s="23">
        <f>$C$34*$D$34*3</f>
        <v>5247.143999999999</v>
      </c>
      <c r="F34" s="23">
        <f>$C$34*$D$34*3</f>
        <v>5247.143999999999</v>
      </c>
      <c r="G34" s="23">
        <f>$C$34*$D$34*3</f>
        <v>5247.143999999999</v>
      </c>
      <c r="H34" s="23">
        <f>$C$34*$D$34*3</f>
        <v>5247.143999999999</v>
      </c>
      <c r="I34" s="9">
        <f t="shared" si="0"/>
        <v>20988.575999999997</v>
      </c>
    </row>
    <row r="35" spans="1:9" ht="25.5">
      <c r="A35" s="47" t="s">
        <v>39</v>
      </c>
      <c r="B35" s="21" t="s">
        <v>17</v>
      </c>
      <c r="C35" s="22">
        <v>0.71</v>
      </c>
      <c r="D35" s="24">
        <v>4164.4</v>
      </c>
      <c r="E35" s="23">
        <f>$C$35*$D$35*3</f>
        <v>8870.171999999999</v>
      </c>
      <c r="F35" s="23">
        <f>$C$35*$D$35*3</f>
        <v>8870.171999999999</v>
      </c>
      <c r="G35" s="23">
        <f>$C$35*$D$35*3</f>
        <v>8870.171999999999</v>
      </c>
      <c r="H35" s="23">
        <f>$C$35*$D$35*3</f>
        <v>8870.171999999999</v>
      </c>
      <c r="I35" s="9">
        <f t="shared" si="0"/>
        <v>35480.687999999995</v>
      </c>
    </row>
    <row r="36" spans="1:9" ht="25.5">
      <c r="A36" s="20" t="s">
        <v>40</v>
      </c>
      <c r="B36" s="21" t="s">
        <v>17</v>
      </c>
      <c r="C36" s="22">
        <v>0.25</v>
      </c>
      <c r="D36" s="24">
        <v>4164.4</v>
      </c>
      <c r="E36" s="23">
        <f>$C$36*$D$36*3</f>
        <v>3123.2999999999997</v>
      </c>
      <c r="F36" s="23">
        <f>$C$36*$D$36*3</f>
        <v>3123.2999999999997</v>
      </c>
      <c r="G36" s="23">
        <f>$C$36*$D$36*3</f>
        <v>3123.2999999999997</v>
      </c>
      <c r="H36" s="23">
        <f>$C$36*$D$36*3</f>
        <v>3123.2999999999997</v>
      </c>
      <c r="I36" s="9">
        <f t="shared" si="0"/>
        <v>12493.199999999999</v>
      </c>
    </row>
    <row r="37" spans="1:9" ht="25.5">
      <c r="A37" s="47" t="s">
        <v>41</v>
      </c>
      <c r="B37" s="21" t="s">
        <v>17</v>
      </c>
      <c r="C37" s="25">
        <v>0.3</v>
      </c>
      <c r="D37" s="24">
        <v>4164.4</v>
      </c>
      <c r="E37" s="23">
        <f>$C$37*$D$37*3</f>
        <v>3747.96</v>
      </c>
      <c r="F37" s="23">
        <f>$C$37*$D$37*3</f>
        <v>3747.96</v>
      </c>
      <c r="G37" s="23">
        <f>$C$37*$D$37*3</f>
        <v>3747.96</v>
      </c>
      <c r="H37" s="23">
        <f>$C$37*$D$37*3</f>
        <v>3747.96</v>
      </c>
      <c r="I37" s="9">
        <f t="shared" si="0"/>
        <v>14991.84</v>
      </c>
    </row>
    <row r="38" spans="1:9" ht="25.5">
      <c r="A38" s="26" t="s">
        <v>42</v>
      </c>
      <c r="B38" s="17"/>
      <c r="C38" s="17"/>
      <c r="D38" s="17"/>
      <c r="E38" s="23">
        <v>3800</v>
      </c>
      <c r="F38" s="23">
        <v>3894</v>
      </c>
      <c r="G38" s="23">
        <v>3800</v>
      </c>
      <c r="H38" s="23">
        <v>3900</v>
      </c>
      <c r="I38" s="9">
        <f t="shared" si="0"/>
        <v>15394</v>
      </c>
    </row>
    <row r="39" spans="1:10" ht="25.5">
      <c r="A39" s="48" t="s">
        <v>43</v>
      </c>
      <c r="B39" s="21" t="s">
        <v>17</v>
      </c>
      <c r="C39" s="22">
        <v>0.65</v>
      </c>
      <c r="D39" s="24">
        <v>4164.4</v>
      </c>
      <c r="E39" s="23">
        <f>$C$39*$D$39*3</f>
        <v>8120.579999999999</v>
      </c>
      <c r="F39" s="23">
        <f>$C$39*$D$39*3</f>
        <v>8120.579999999999</v>
      </c>
      <c r="G39" s="23">
        <f>$C$39*$D$39*3</f>
        <v>8120.579999999999</v>
      </c>
      <c r="H39" s="23">
        <f>$C$39*$D$39*3</f>
        <v>8120.579999999999</v>
      </c>
      <c r="I39" s="9">
        <f t="shared" si="0"/>
        <v>32482.319999999996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v>4164.4</v>
      </c>
      <c r="E40" s="23">
        <f>$C$40*$D$40*3</f>
        <v>6871.26</v>
      </c>
      <c r="F40" s="23">
        <f>$C$40*$D$40*3</f>
        <v>6871.26</v>
      </c>
      <c r="G40" s="23">
        <f>$C$40*$D$40*3</f>
        <v>6871.26</v>
      </c>
      <c r="H40" s="23">
        <f>$C$40*$D$40*3</f>
        <v>6871.26</v>
      </c>
      <c r="I40" s="9">
        <f t="shared" si="0"/>
        <v>27485.04</v>
      </c>
    </row>
    <row r="41" spans="1:9" ht="12.75">
      <c r="A41" s="20" t="s">
        <v>45</v>
      </c>
      <c r="B41" s="17" t="s">
        <v>18</v>
      </c>
      <c r="C41" s="17">
        <v>150</v>
      </c>
      <c r="D41" s="17">
        <v>1</v>
      </c>
      <c r="E41" s="9">
        <f>$C$41*$D$41*3</f>
        <v>450</v>
      </c>
      <c r="F41" s="9">
        <f>$C$41*$D$41*3</f>
        <v>450</v>
      </c>
      <c r="G41" s="9">
        <f>$C$41*$D$41*3</f>
        <v>450</v>
      </c>
      <c r="H41" s="9">
        <f>$C$41*$D$41*3</f>
        <v>450</v>
      </c>
      <c r="I41" s="9">
        <f t="shared" si="0"/>
        <v>1800</v>
      </c>
    </row>
    <row r="42" spans="1:9" ht="25.5">
      <c r="A42" s="48" t="s">
        <v>46</v>
      </c>
      <c r="B42" s="17"/>
      <c r="C42" s="17"/>
      <c r="D42" s="17"/>
      <c r="E42" s="23">
        <v>3000</v>
      </c>
      <c r="F42" s="23">
        <v>3000</v>
      </c>
      <c r="G42" s="23">
        <v>3000</v>
      </c>
      <c r="H42" s="23">
        <v>3000</v>
      </c>
      <c r="I42" s="9">
        <f t="shared" si="0"/>
        <v>12000</v>
      </c>
    </row>
    <row r="43" spans="1:9" ht="12.75">
      <c r="A43" s="20" t="s">
        <v>47</v>
      </c>
      <c r="B43" s="28" t="s">
        <v>19</v>
      </c>
      <c r="C43" s="29">
        <v>1</v>
      </c>
      <c r="D43" s="30">
        <v>250</v>
      </c>
      <c r="E43" s="9"/>
      <c r="F43" s="9">
        <f>C43*D43/2</f>
        <v>125</v>
      </c>
      <c r="G43" s="9"/>
      <c r="H43" s="9">
        <f>C43/2*D43</f>
        <v>125</v>
      </c>
      <c r="I43" s="9">
        <f t="shared" si="0"/>
        <v>250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4164.4</v>
      </c>
      <c r="E45" s="23">
        <f>$C$45*$D$45*3</f>
        <v>5996.735999999999</v>
      </c>
      <c r="F45" s="23">
        <f>$C$45*$D$45*3</f>
        <v>5996.735999999999</v>
      </c>
      <c r="G45" s="23">
        <f>$C$45*$D$45*3</f>
        <v>5996.735999999999</v>
      </c>
      <c r="H45" s="23">
        <f>$C$45*$D$45*3</f>
        <v>5996.735999999999</v>
      </c>
      <c r="I45" s="9">
        <f>SUM(E45:H45)</f>
        <v>23986.943999999996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4500</v>
      </c>
      <c r="D47" s="30">
        <v>1</v>
      </c>
      <c r="E47" s="23">
        <f>$C$47*$D$47*3</f>
        <v>13500</v>
      </c>
      <c r="F47" s="23">
        <f>$C$47*$D$47*3</f>
        <v>13500</v>
      </c>
      <c r="G47" s="23">
        <f>$C$47*$D$47*3</f>
        <v>13500</v>
      </c>
      <c r="H47" s="23">
        <f>$C$47*$D$47*3</f>
        <v>13500</v>
      </c>
      <c r="I47" s="9">
        <f>SUM(E47:H47)</f>
        <v>54000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4164.4</v>
      </c>
      <c r="E49" s="23">
        <f>$C$49*$D$49*3</f>
        <v>20238.983999999997</v>
      </c>
      <c r="F49" s="23">
        <f>$C$49*$D$49*3</f>
        <v>20238.983999999997</v>
      </c>
      <c r="G49" s="23">
        <f>$C$49*$D$49*3</f>
        <v>20238.983999999997</v>
      </c>
      <c r="H49" s="23">
        <f>$C$49*$D$49*3</f>
        <v>20238.983999999997</v>
      </c>
      <c r="I49" s="9">
        <f>SUM(E49:H49)</f>
        <v>80955.93599999999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4308</v>
      </c>
      <c r="F51" s="9">
        <v>4308</v>
      </c>
      <c r="G51" s="9">
        <v>4308</v>
      </c>
      <c r="H51" s="9">
        <v>4309</v>
      </c>
      <c r="I51" s="9">
        <f>SUM(E51:H51)</f>
        <v>17233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80</v>
      </c>
      <c r="E52" s="23">
        <f>$C$52*$D$52*3</f>
        <v>944.82432</v>
      </c>
      <c r="F52" s="23">
        <f>$C$52*$D$52*3</f>
        <v>944.82432</v>
      </c>
      <c r="G52" s="23">
        <f>$C$52*$D$52*3</f>
        <v>944.82432</v>
      </c>
      <c r="H52" s="23">
        <f>$C$52*$D$52*3</f>
        <v>944.82432</v>
      </c>
      <c r="I52" s="9">
        <f>SUM(E52:H52)</f>
        <v>3779.29728</v>
      </c>
    </row>
    <row r="53" spans="1:9" ht="12.75">
      <c r="A53" s="32" t="s">
        <v>20</v>
      </c>
      <c r="B53" s="33"/>
      <c r="C53" s="34"/>
      <c r="D53" s="33"/>
      <c r="E53" s="12">
        <f>SUM(E33:E52)</f>
        <v>90218.96032</v>
      </c>
      <c r="F53" s="12">
        <f>SUM(F33:F52)</f>
        <v>90437.96032</v>
      </c>
      <c r="G53" s="12">
        <f>SUM(G33:G52)</f>
        <v>90218.96032</v>
      </c>
      <c r="H53" s="12">
        <f>SUM(H33:H52)</f>
        <v>90444.96032</v>
      </c>
      <c r="I53" s="12">
        <f>SUM(I33:I52)</f>
        <v>361320.84128</v>
      </c>
    </row>
    <row r="54" spans="1:9" ht="12.75">
      <c r="A54" s="10" t="s">
        <v>35</v>
      </c>
      <c r="B54" s="6"/>
      <c r="C54" s="35"/>
      <c r="D54" s="6"/>
      <c r="E54" s="36">
        <v>10613</v>
      </c>
      <c r="F54" s="36">
        <v>10613</v>
      </c>
      <c r="G54" s="36">
        <v>10613</v>
      </c>
      <c r="H54" s="36">
        <v>10613</v>
      </c>
      <c r="I54" s="36">
        <f>SUM(E54:H54)</f>
        <v>42452</v>
      </c>
    </row>
    <row r="55" spans="1:9" ht="12.75">
      <c r="A55" s="37" t="s">
        <v>21</v>
      </c>
      <c r="B55" s="6"/>
      <c r="C55" s="35"/>
      <c r="D55" s="6"/>
      <c r="E55" s="38">
        <f>SUM(E53:E54)</f>
        <v>100831.96032</v>
      </c>
      <c r="F55" s="38">
        <f>SUM(F53:F54)</f>
        <v>101050.96032</v>
      </c>
      <c r="G55" s="38">
        <f>SUM(G53:G54)</f>
        <v>100831.96032</v>
      </c>
      <c r="H55" s="38">
        <f>SUM(H53:H54)</f>
        <v>101057.96032</v>
      </c>
      <c r="I55" s="38">
        <f>SUM(I53:I54)</f>
        <v>403772.84128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-0.14928000001236796</v>
      </c>
    </row>
    <row r="58" spans="1:5" ht="12.75">
      <c r="A58" s="5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1">
      <selection activeCell="G62" sqref="G62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68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-82315.58</v>
      </c>
    </row>
    <row r="19" spans="1:2" ht="25.5">
      <c r="A19" s="42" t="s">
        <v>24</v>
      </c>
      <c r="B19" s="9">
        <v>819970.7</v>
      </c>
    </row>
    <row r="20" spans="1:2" ht="25.5">
      <c r="A20" s="42" t="s">
        <v>25</v>
      </c>
      <c r="B20" s="9">
        <v>59006.17</v>
      </c>
    </row>
    <row r="21" spans="1:2" ht="25.5">
      <c r="A21" s="42" t="s">
        <v>26</v>
      </c>
      <c r="B21" s="9">
        <f>11396.69+26120.64+299017.92</f>
        <v>336535.25</v>
      </c>
    </row>
    <row r="22" spans="1:2" ht="12.75">
      <c r="A22" s="42" t="s">
        <v>27</v>
      </c>
      <c r="B22" s="9">
        <v>223331.9</v>
      </c>
    </row>
    <row r="23" spans="1:2" ht="12.75">
      <c r="A23" s="10" t="s">
        <v>35</v>
      </c>
      <c r="B23" s="9">
        <f>(B19+B20+B21+B22)*10%</f>
        <v>143884.402</v>
      </c>
    </row>
    <row r="24" spans="1:2" ht="12.75">
      <c r="A24" s="43" t="s">
        <v>28</v>
      </c>
      <c r="B24" s="12">
        <f>B18+B19+B20+B21+B22-B23</f>
        <v>1212644.038</v>
      </c>
    </row>
    <row r="25" spans="1:2" ht="12.75">
      <c r="A25" s="42" t="s">
        <v>29</v>
      </c>
      <c r="B25" s="13">
        <v>6.75</v>
      </c>
    </row>
    <row r="26" spans="1:2" ht="25.5">
      <c r="A26" s="42" t="s">
        <v>30</v>
      </c>
      <c r="B26" s="13">
        <v>0.53</v>
      </c>
    </row>
    <row r="27" spans="1:2" ht="38.25">
      <c r="A27" s="42" t="s">
        <v>31</v>
      </c>
      <c r="B27" s="50" t="s">
        <v>69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15000</v>
      </c>
      <c r="F33" s="23">
        <v>15000</v>
      </c>
      <c r="G33" s="23">
        <v>15000</v>
      </c>
      <c r="H33" s="23">
        <v>15000</v>
      </c>
      <c r="I33" s="9">
        <f aca="true" t="shared" si="0" ref="I33:I44">SUM(E33:H33)</f>
        <v>60000</v>
      </c>
    </row>
    <row r="34" spans="1:9" ht="25.5">
      <c r="A34" s="47" t="s">
        <v>38</v>
      </c>
      <c r="B34" s="21" t="s">
        <v>17</v>
      </c>
      <c r="C34" s="22">
        <v>0.42</v>
      </c>
      <c r="D34" s="24">
        <f>9122.5+1216.94</f>
        <v>10339.44</v>
      </c>
      <c r="E34" s="23">
        <f>$C$34*$D$34*3</f>
        <v>13027.6944</v>
      </c>
      <c r="F34" s="23">
        <f>$C$34*$D$34*3</f>
        <v>13027.6944</v>
      </c>
      <c r="G34" s="23">
        <f>$C$34*$D$34*3</f>
        <v>13027.6944</v>
      </c>
      <c r="H34" s="23">
        <f>$C$34*$D$34*3</f>
        <v>13027.6944</v>
      </c>
      <c r="I34" s="9">
        <f t="shared" si="0"/>
        <v>52110.7776</v>
      </c>
    </row>
    <row r="35" spans="1:9" ht="25.5">
      <c r="A35" s="47" t="s">
        <v>39</v>
      </c>
      <c r="B35" s="21" t="s">
        <v>17</v>
      </c>
      <c r="C35" s="22">
        <v>0.71</v>
      </c>
      <c r="D35" s="24">
        <f>9122.5+1216.94</f>
        <v>10339.44</v>
      </c>
      <c r="E35" s="23">
        <f>$C$35*$D$35*3</f>
        <v>22023.0072</v>
      </c>
      <c r="F35" s="23">
        <f>$C$35*$D$35*3</f>
        <v>22023.0072</v>
      </c>
      <c r="G35" s="23">
        <f>$C$35*$D$35*3</f>
        <v>22023.0072</v>
      </c>
      <c r="H35" s="23">
        <f>$C$35*$D$35*3</f>
        <v>22023.0072</v>
      </c>
      <c r="I35" s="9">
        <f t="shared" si="0"/>
        <v>88092.0288</v>
      </c>
    </row>
    <row r="36" spans="1:9" ht="25.5">
      <c r="A36" s="20" t="s">
        <v>40</v>
      </c>
      <c r="B36" s="21" t="s">
        <v>17</v>
      </c>
      <c r="C36" s="22">
        <v>0.25</v>
      </c>
      <c r="D36" s="24">
        <f>9122.5+1216.94</f>
        <v>10339.44</v>
      </c>
      <c r="E36" s="23">
        <f>$C$36*$D$36*3</f>
        <v>7754.58</v>
      </c>
      <c r="F36" s="23">
        <f>$C$36*$D$36*3</f>
        <v>7754.58</v>
      </c>
      <c r="G36" s="23">
        <f>$C$36*$D$36*3</f>
        <v>7754.58</v>
      </c>
      <c r="H36" s="23">
        <f>$C$36*$D$36*3</f>
        <v>7754.58</v>
      </c>
      <c r="I36" s="9">
        <f t="shared" si="0"/>
        <v>31018.32</v>
      </c>
    </row>
    <row r="37" spans="1:9" ht="25.5">
      <c r="A37" s="47" t="s">
        <v>41</v>
      </c>
      <c r="B37" s="21" t="s">
        <v>17</v>
      </c>
      <c r="C37" s="25">
        <v>0.3</v>
      </c>
      <c r="D37" s="24">
        <f>9122.5+1216.94</f>
        <v>10339.44</v>
      </c>
      <c r="E37" s="23">
        <f>$C$37*$D$37*3</f>
        <v>9305.496</v>
      </c>
      <c r="F37" s="23">
        <f>$C$37*$D$37*3</f>
        <v>9305.496</v>
      </c>
      <c r="G37" s="23">
        <f>$C$37*$D$37*3</f>
        <v>9305.496</v>
      </c>
      <c r="H37" s="23">
        <f>$C$37*$D$37*3</f>
        <v>9305.496</v>
      </c>
      <c r="I37" s="9">
        <f t="shared" si="0"/>
        <v>37221.984</v>
      </c>
    </row>
    <row r="38" spans="1:9" ht="25.5">
      <c r="A38" s="26" t="s">
        <v>42</v>
      </c>
      <c r="B38" s="17"/>
      <c r="C38" s="17"/>
      <c r="D38" s="17"/>
      <c r="E38" s="23">
        <v>15000</v>
      </c>
      <c r="F38" s="23">
        <v>15000</v>
      </c>
      <c r="G38" s="23">
        <v>15000</v>
      </c>
      <c r="H38" s="23">
        <v>15000</v>
      </c>
      <c r="I38" s="9">
        <f t="shared" si="0"/>
        <v>60000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f>9122.5</f>
        <v>9122.5</v>
      </c>
      <c r="E39" s="23">
        <f>$C$39*$D$39*3</f>
        <v>17788.875</v>
      </c>
      <c r="F39" s="23">
        <f>$C$39*$D$39*3</f>
        <v>17788.875</v>
      </c>
      <c r="G39" s="23">
        <f>$C$39*$D$39*3</f>
        <v>17788.875</v>
      </c>
      <c r="H39" s="23">
        <f>$C$39*$D$39*3</f>
        <v>17788.875</v>
      </c>
      <c r="I39" s="9">
        <f t="shared" si="0"/>
        <v>71155.5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f>9122.5</f>
        <v>9122.5</v>
      </c>
      <c r="E40" s="23">
        <f>$C$40*$D$40*3</f>
        <v>15052.125</v>
      </c>
      <c r="F40" s="23">
        <f>$C$40*$D$40*3</f>
        <v>15052.125</v>
      </c>
      <c r="G40" s="23">
        <f>$C$40*$D$40*3</f>
        <v>15052.125</v>
      </c>
      <c r="H40" s="23">
        <f>$C$40*$D$40*3</f>
        <v>15052.125</v>
      </c>
      <c r="I40" s="9">
        <f t="shared" si="0"/>
        <v>60208.5</v>
      </c>
    </row>
    <row r="41" spans="1:9" ht="12.75">
      <c r="A41" s="20" t="s">
        <v>45</v>
      </c>
      <c r="B41" s="17" t="s">
        <v>18</v>
      </c>
      <c r="C41" s="17">
        <v>100</v>
      </c>
      <c r="D41" s="17">
        <v>5</v>
      </c>
      <c r="E41" s="9">
        <f>$C$41*$D$41*3</f>
        <v>1500</v>
      </c>
      <c r="F41" s="9">
        <f>$C$41*$D$41*3</f>
        <v>1500</v>
      </c>
      <c r="G41" s="9">
        <f>$C$41*$D$41*3</f>
        <v>1500</v>
      </c>
      <c r="H41" s="9">
        <f>$C$41*$D$41*3</f>
        <v>1500</v>
      </c>
      <c r="I41" s="9">
        <f t="shared" si="0"/>
        <v>6000</v>
      </c>
    </row>
    <row r="42" spans="1:9" ht="25.5">
      <c r="A42" s="48" t="s">
        <v>46</v>
      </c>
      <c r="B42" s="17"/>
      <c r="C42" s="17"/>
      <c r="D42" s="17"/>
      <c r="E42" s="23">
        <v>15000</v>
      </c>
      <c r="F42" s="23">
        <v>15000</v>
      </c>
      <c r="G42" s="23">
        <v>15000</v>
      </c>
      <c r="H42" s="23">
        <v>15000</v>
      </c>
      <c r="I42" s="9">
        <f t="shared" si="0"/>
        <v>60000</v>
      </c>
    </row>
    <row r="43" spans="1:9" ht="12.75">
      <c r="A43" s="20" t="s">
        <v>47</v>
      </c>
      <c r="B43" s="28" t="s">
        <v>19</v>
      </c>
      <c r="C43" s="29">
        <v>1</v>
      </c>
      <c r="D43" s="30">
        <v>1300</v>
      </c>
      <c r="E43" s="9"/>
      <c r="F43" s="9">
        <f>C43*D43/2</f>
        <v>650</v>
      </c>
      <c r="G43" s="9"/>
      <c r="H43" s="9">
        <f>C43/2*D43</f>
        <v>650</v>
      </c>
      <c r="I43" s="9">
        <f t="shared" si="0"/>
        <v>1300</v>
      </c>
    </row>
    <row r="44" spans="1:9" ht="12.75">
      <c r="A44" s="20" t="s">
        <v>70</v>
      </c>
      <c r="B44" s="28"/>
      <c r="C44" s="29"/>
      <c r="D44" s="30"/>
      <c r="E44" s="9"/>
      <c r="F44" s="9">
        <f>6000+1000</f>
        <v>7000</v>
      </c>
      <c r="G44" s="9">
        <v>9000</v>
      </c>
      <c r="H44" s="9"/>
      <c r="I44" s="9">
        <f t="shared" si="0"/>
        <v>16000</v>
      </c>
    </row>
    <row r="45" spans="1:9" ht="12.75">
      <c r="A45" s="44" t="s">
        <v>48</v>
      </c>
      <c r="B45" s="28"/>
      <c r="C45" s="29"/>
      <c r="D45" s="30"/>
      <c r="E45" s="9"/>
      <c r="F45" s="9"/>
      <c r="G45" s="9"/>
      <c r="H45" s="9"/>
      <c r="I45" s="9"/>
    </row>
    <row r="46" spans="1:9" ht="25.5">
      <c r="A46" s="20" t="s">
        <v>49</v>
      </c>
      <c r="B46" s="21" t="s">
        <v>17</v>
      </c>
      <c r="C46" s="29">
        <v>0.48</v>
      </c>
      <c r="D46" s="24">
        <f>9122.5+155.2</f>
        <v>9277.7</v>
      </c>
      <c r="E46" s="23">
        <f>$C$46*$D$46*3</f>
        <v>13359.888</v>
      </c>
      <c r="F46" s="23">
        <f>$C$46*$D$46*3</f>
        <v>13359.888</v>
      </c>
      <c r="G46" s="23">
        <f>$C$46*$D$46*3</f>
        <v>13359.888</v>
      </c>
      <c r="H46" s="23">
        <f>$C$46*$D$46*3</f>
        <v>13359.888</v>
      </c>
      <c r="I46" s="9">
        <f>SUM(E46:H46)</f>
        <v>53439.552</v>
      </c>
    </row>
    <row r="47" spans="1:9" ht="12.75">
      <c r="A47" s="44" t="s">
        <v>50</v>
      </c>
      <c r="B47" s="28"/>
      <c r="C47" s="29"/>
      <c r="D47" s="30"/>
      <c r="E47" s="9"/>
      <c r="F47" s="9"/>
      <c r="G47" s="9"/>
      <c r="H47" s="9"/>
      <c r="I47" s="9"/>
    </row>
    <row r="48" spans="1:9" ht="12.75">
      <c r="A48" s="20" t="s">
        <v>51</v>
      </c>
      <c r="B48" s="21" t="s">
        <v>18</v>
      </c>
      <c r="C48" s="29">
        <v>4650</v>
      </c>
      <c r="D48" s="30">
        <v>5</v>
      </c>
      <c r="E48" s="23">
        <f>$C$48*$D$48*3</f>
        <v>69750</v>
      </c>
      <c r="F48" s="23">
        <f>$C$48*$D$48*3</f>
        <v>69750</v>
      </c>
      <c r="G48" s="23">
        <f>$C$48*$D$48*3</f>
        <v>69750</v>
      </c>
      <c r="H48" s="23">
        <f>$C$48*$D$48*3</f>
        <v>69750</v>
      </c>
      <c r="I48" s="9">
        <f>SUM(E48:H48)</f>
        <v>279000</v>
      </c>
    </row>
    <row r="49" spans="1:9" ht="12.75">
      <c r="A49" s="44" t="s">
        <v>52</v>
      </c>
      <c r="B49" s="28"/>
      <c r="C49" s="29"/>
      <c r="D49" s="30"/>
      <c r="E49" s="9"/>
      <c r="F49" s="9"/>
      <c r="G49" s="9"/>
      <c r="H49" s="9"/>
      <c r="I49" s="9"/>
    </row>
    <row r="50" spans="1:9" ht="25.5">
      <c r="A50" s="20" t="s">
        <v>53</v>
      </c>
      <c r="B50" s="21" t="s">
        <v>17</v>
      </c>
      <c r="C50" s="29">
        <v>1.62</v>
      </c>
      <c r="D50" s="24">
        <f>9122.5+1216.94</f>
        <v>10339.44</v>
      </c>
      <c r="E50" s="23">
        <f>$C$50*$D$50*3</f>
        <v>50249.678400000004</v>
      </c>
      <c r="F50" s="23">
        <f>$C$50*$D$50*3</f>
        <v>50249.678400000004</v>
      </c>
      <c r="G50" s="23">
        <f>$C$50*$D$50*3</f>
        <v>50249.678400000004</v>
      </c>
      <c r="H50" s="23">
        <f>$C$50*$D$50*3</f>
        <v>50249.678400000004</v>
      </c>
      <c r="I50" s="9">
        <f>SUM(E50:H50)</f>
        <v>200998.71360000002</v>
      </c>
    </row>
    <row r="51" spans="1:9" ht="12.75">
      <c r="A51" s="45" t="s">
        <v>54</v>
      </c>
      <c r="B51" s="28"/>
      <c r="C51" s="29"/>
      <c r="D51" s="30"/>
      <c r="E51" s="9"/>
      <c r="F51" s="9"/>
      <c r="G51" s="9"/>
      <c r="H51" s="9"/>
      <c r="I51" s="9"/>
    </row>
    <row r="52" spans="1:9" ht="25.5">
      <c r="A52" s="48" t="s">
        <v>57</v>
      </c>
      <c r="B52" s="28"/>
      <c r="C52" s="29"/>
      <c r="D52" s="30"/>
      <c r="E52" s="9">
        <v>12187</v>
      </c>
      <c r="F52" s="9">
        <v>12187</v>
      </c>
      <c r="G52" s="9">
        <v>12187</v>
      </c>
      <c r="H52" s="9">
        <v>12189</v>
      </c>
      <c r="I52" s="9">
        <f>SUM(E52:H52)</f>
        <v>48750</v>
      </c>
    </row>
    <row r="53" spans="1:9" ht="12.75">
      <c r="A53" s="46" t="s">
        <v>55</v>
      </c>
      <c r="B53" s="21" t="s">
        <v>56</v>
      </c>
      <c r="C53" s="49">
        <f>3+0.936768</f>
        <v>3.936768</v>
      </c>
      <c r="D53" s="31">
        <v>230</v>
      </c>
      <c r="E53" s="23">
        <f>$C$53*$D$53*3</f>
        <v>2716.36992</v>
      </c>
      <c r="F53" s="23">
        <f>$C$53*$D$53*3</f>
        <v>2716.36992</v>
      </c>
      <c r="G53" s="23">
        <f>$C$53*$D$53*3</f>
        <v>2716.36992</v>
      </c>
      <c r="H53" s="23">
        <f>$C$53*$D$53*3</f>
        <v>2716.36992</v>
      </c>
      <c r="I53" s="9">
        <f>SUM(E53:H53)</f>
        <v>10865.47968</v>
      </c>
    </row>
    <row r="54" spans="1:9" ht="12.75">
      <c r="A54" s="32" t="s">
        <v>20</v>
      </c>
      <c r="B54" s="33"/>
      <c r="C54" s="34"/>
      <c r="D54" s="33"/>
      <c r="E54" s="12">
        <f>SUM(E33:E53)</f>
        <v>279714.71392000007</v>
      </c>
      <c r="F54" s="12">
        <f>SUM(F33:F53)</f>
        <v>287364.71392000007</v>
      </c>
      <c r="G54" s="12">
        <f>SUM(G33:G53)</f>
        <v>288714.71392000007</v>
      </c>
      <c r="H54" s="12">
        <f>SUM(H33:H53)</f>
        <v>280366.71392000007</v>
      </c>
      <c r="I54" s="12">
        <f>SUM(I33:I53)</f>
        <v>1136160.8556800003</v>
      </c>
    </row>
    <row r="55" spans="1:9" ht="12.75">
      <c r="A55" s="10" t="s">
        <v>35</v>
      </c>
      <c r="B55" s="6"/>
      <c r="C55" s="35"/>
      <c r="D55" s="6"/>
      <c r="E55" s="36">
        <v>35971</v>
      </c>
      <c r="F55" s="36">
        <v>35971</v>
      </c>
      <c r="G55" s="36">
        <v>35971</v>
      </c>
      <c r="H55" s="36">
        <v>35971</v>
      </c>
      <c r="I55" s="36">
        <f>SUM(E55:H55)</f>
        <v>143884</v>
      </c>
    </row>
    <row r="56" spans="1:9" ht="12.75">
      <c r="A56" s="37" t="s">
        <v>21</v>
      </c>
      <c r="B56" s="6"/>
      <c r="C56" s="35"/>
      <c r="D56" s="6"/>
      <c r="E56" s="38">
        <f>SUM(E54:E55)</f>
        <v>315685.71392000007</v>
      </c>
      <c r="F56" s="38">
        <f>SUM(F54:F55)</f>
        <v>323335.71392000007</v>
      </c>
      <c r="G56" s="38">
        <f>SUM(G54:G55)</f>
        <v>324685.71392000007</v>
      </c>
      <c r="H56" s="38">
        <f>SUM(H54:H55)</f>
        <v>316337.71392000007</v>
      </c>
      <c r="I56" s="38">
        <f>SUM(I54:I55)</f>
        <v>1280044.8556800003</v>
      </c>
    </row>
    <row r="57" spans="1:9" ht="12.75">
      <c r="A57" s="39" t="s">
        <v>22</v>
      </c>
      <c r="B57" s="39"/>
      <c r="C57" s="39"/>
      <c r="D57" s="39"/>
      <c r="E57" s="39"/>
      <c r="F57" s="39"/>
      <c r="G57" s="39"/>
      <c r="H57" s="39"/>
      <c r="I57" s="40">
        <f>B24-I54</f>
        <v>76483.18231999967</v>
      </c>
    </row>
    <row r="59" spans="1:5" ht="12.75">
      <c r="A59" s="41"/>
      <c r="E59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D46" sqref="D46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71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-138206.8</v>
      </c>
    </row>
    <row r="19" spans="1:2" ht="25.5">
      <c r="A19" s="42" t="s">
        <v>24</v>
      </c>
      <c r="B19" s="9">
        <v>735123</v>
      </c>
    </row>
    <row r="20" spans="1:2" ht="25.5">
      <c r="A20" s="42" t="s">
        <v>25</v>
      </c>
      <c r="B20" s="9">
        <v>0</v>
      </c>
    </row>
    <row r="21" spans="1:2" ht="25.5">
      <c r="A21" s="42" t="s">
        <v>26</v>
      </c>
      <c r="B21" s="9">
        <f>22995.32+33056.09+331775.93</f>
        <v>387827.33999999997</v>
      </c>
    </row>
    <row r="22" spans="1:2" ht="12.75">
      <c r="A22" s="42" t="s">
        <v>27</v>
      </c>
      <c r="B22" s="9">
        <v>264644.28</v>
      </c>
    </row>
    <row r="23" spans="1:2" ht="12.75">
      <c r="A23" s="10" t="s">
        <v>35</v>
      </c>
      <c r="B23" s="9">
        <f>(B19+B20+B21+B22)*10%</f>
        <v>138759.462</v>
      </c>
    </row>
    <row r="24" spans="1:2" ht="12.75">
      <c r="A24" s="43" t="s">
        <v>28</v>
      </c>
      <c r="B24" s="12">
        <f>B18+B19+B20+B21+B22-B23</f>
        <v>1110628.3579999998</v>
      </c>
    </row>
    <row r="25" spans="1:2" ht="12.75">
      <c r="A25" s="42" t="s">
        <v>29</v>
      </c>
      <c r="B25" s="13">
        <v>5</v>
      </c>
    </row>
    <row r="26" spans="1:2" ht="25.5">
      <c r="A26" s="42" t="s">
        <v>30</v>
      </c>
      <c r="B26" s="13">
        <v>0</v>
      </c>
    </row>
    <row r="27" spans="1:2" ht="38.25">
      <c r="A27" s="42" t="s">
        <v>31</v>
      </c>
      <c r="B27" s="50" t="s">
        <v>72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3022</v>
      </c>
      <c r="F33" s="23">
        <v>3000</v>
      </c>
      <c r="G33" s="23">
        <v>3000</v>
      </c>
      <c r="H33" s="23">
        <v>3000</v>
      </c>
      <c r="I33" s="9">
        <f aca="true" t="shared" si="0" ref="I33:I43">SUM(E33:H33)</f>
        <v>12022</v>
      </c>
    </row>
    <row r="34" spans="1:9" ht="25.5">
      <c r="A34" s="47" t="s">
        <v>38</v>
      </c>
      <c r="B34" s="21" t="s">
        <v>17</v>
      </c>
      <c r="C34" s="22">
        <v>0.42</v>
      </c>
      <c r="D34" s="24">
        <v>12252.05</v>
      </c>
      <c r="E34" s="23">
        <f>$C$34*$D$34*3</f>
        <v>15437.582999999999</v>
      </c>
      <c r="F34" s="23">
        <f>$C$34*$D$34*3</f>
        <v>15437.582999999999</v>
      </c>
      <c r="G34" s="23">
        <f>$C$34*$D$34*3</f>
        <v>15437.582999999999</v>
      </c>
      <c r="H34" s="23">
        <f>$C$34*$D$34*3</f>
        <v>15437.582999999999</v>
      </c>
      <c r="I34" s="9">
        <f t="shared" si="0"/>
        <v>61750.331999999995</v>
      </c>
    </row>
    <row r="35" spans="1:9" ht="25.5">
      <c r="A35" s="47" t="s">
        <v>39</v>
      </c>
      <c r="B35" s="21" t="s">
        <v>17</v>
      </c>
      <c r="C35" s="22">
        <v>0.71</v>
      </c>
      <c r="D35" s="24">
        <v>12252.05</v>
      </c>
      <c r="E35" s="23">
        <f>$C$35*$D$35*3</f>
        <v>26096.866499999996</v>
      </c>
      <c r="F35" s="23">
        <f>$C$35*$D$35*3</f>
        <v>26096.866499999996</v>
      </c>
      <c r="G35" s="23">
        <f>$C$35*$D$35*3</f>
        <v>26096.866499999996</v>
      </c>
      <c r="H35" s="23">
        <f>$C$35*$D$35*3</f>
        <v>26096.866499999996</v>
      </c>
      <c r="I35" s="9">
        <f t="shared" si="0"/>
        <v>104387.46599999999</v>
      </c>
    </row>
    <row r="36" spans="1:9" ht="25.5">
      <c r="A36" s="20" t="s">
        <v>40</v>
      </c>
      <c r="B36" s="21" t="s">
        <v>17</v>
      </c>
      <c r="C36" s="22">
        <v>0.25</v>
      </c>
      <c r="D36" s="24">
        <v>12252.05</v>
      </c>
      <c r="E36" s="23">
        <f>$C$36*$D$36*3</f>
        <v>9189.037499999999</v>
      </c>
      <c r="F36" s="23">
        <f>$C$36*$D$36*3</f>
        <v>9189.037499999999</v>
      </c>
      <c r="G36" s="23">
        <f>$C$36*$D$36*3</f>
        <v>9189.037499999999</v>
      </c>
      <c r="H36" s="23">
        <f>$C$36*$D$36*3</f>
        <v>9189.037499999999</v>
      </c>
      <c r="I36" s="9">
        <f t="shared" si="0"/>
        <v>36756.149999999994</v>
      </c>
    </row>
    <row r="37" spans="1:9" ht="25.5">
      <c r="A37" s="47" t="s">
        <v>41</v>
      </c>
      <c r="B37" s="21" t="s">
        <v>17</v>
      </c>
      <c r="C37" s="25">
        <v>0.3</v>
      </c>
      <c r="D37" s="24">
        <v>12252.05</v>
      </c>
      <c r="E37" s="23">
        <f>$C$37*$D$37*3</f>
        <v>11026.845</v>
      </c>
      <c r="F37" s="23">
        <f>$C$37*$D$37*3</f>
        <v>11026.845</v>
      </c>
      <c r="G37" s="23">
        <f>$C$37*$D$37*3</f>
        <v>11026.845</v>
      </c>
      <c r="H37" s="23">
        <f>$C$37*$D$37*3</f>
        <v>11026.845</v>
      </c>
      <c r="I37" s="9">
        <f t="shared" si="0"/>
        <v>44107.38</v>
      </c>
    </row>
    <row r="38" spans="1:9" ht="25.5">
      <c r="A38" s="26" t="s">
        <v>42</v>
      </c>
      <c r="B38" s="17"/>
      <c r="C38" s="17"/>
      <c r="D38" s="17"/>
      <c r="E38" s="23">
        <v>3300</v>
      </c>
      <c r="F38" s="23">
        <v>3400</v>
      </c>
      <c r="G38" s="23">
        <v>3400</v>
      </c>
      <c r="H38" s="23">
        <v>3400</v>
      </c>
      <c r="I38" s="9">
        <f t="shared" si="0"/>
        <v>13500</v>
      </c>
    </row>
    <row r="39" spans="1:10" ht="25.5">
      <c r="A39" s="48" t="s">
        <v>43</v>
      </c>
      <c r="B39" s="21" t="s">
        <v>17</v>
      </c>
      <c r="C39" s="22">
        <v>0.65</v>
      </c>
      <c r="D39" s="24">
        <v>12252.05</v>
      </c>
      <c r="E39" s="23">
        <f>$C$39*$D$39*3</f>
        <v>23891.497499999998</v>
      </c>
      <c r="F39" s="23">
        <f>$C$39*$D$39*3</f>
        <v>23891.497499999998</v>
      </c>
      <c r="G39" s="23">
        <f>$C$39*$D$39*3</f>
        <v>23891.497499999998</v>
      </c>
      <c r="H39" s="23">
        <f>$C$39*$D$39*3</f>
        <v>23891.497499999998</v>
      </c>
      <c r="I39" s="9">
        <f t="shared" si="0"/>
        <v>95565.98999999999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v>12252.05</v>
      </c>
      <c r="E40" s="23">
        <f>$C$40*$D$40*3</f>
        <v>20215.8825</v>
      </c>
      <c r="F40" s="23">
        <f>$C$40*$D$40*3</f>
        <v>20215.8825</v>
      </c>
      <c r="G40" s="23">
        <f>$C$40*$D$40*3</f>
        <v>20215.8825</v>
      </c>
      <c r="H40" s="23">
        <f>$C$40*$D$40*3</f>
        <v>20215.8825</v>
      </c>
      <c r="I40" s="9">
        <f t="shared" si="0"/>
        <v>80863.53</v>
      </c>
    </row>
    <row r="41" spans="1:9" ht="12.75">
      <c r="A41" s="20" t="s">
        <v>45</v>
      </c>
      <c r="B41" s="17" t="s">
        <v>18</v>
      </c>
      <c r="C41" s="17">
        <v>100</v>
      </c>
      <c r="D41" s="17">
        <v>6</v>
      </c>
      <c r="E41" s="9">
        <f>$C$41*$D$41*3</f>
        <v>1800</v>
      </c>
      <c r="F41" s="9">
        <f>$C$41*$D$41*3</f>
        <v>1800</v>
      </c>
      <c r="G41" s="9">
        <f>$C$41*$D$41*3</f>
        <v>1800</v>
      </c>
      <c r="H41" s="9">
        <f>$C$41*$D$41*3</f>
        <v>1800</v>
      </c>
      <c r="I41" s="9">
        <f t="shared" si="0"/>
        <v>7200</v>
      </c>
    </row>
    <row r="42" spans="1:9" ht="25.5">
      <c r="A42" s="48" t="s">
        <v>46</v>
      </c>
      <c r="B42" s="17"/>
      <c r="C42" s="17"/>
      <c r="D42" s="17"/>
      <c r="E42" s="23">
        <v>5000</v>
      </c>
      <c r="F42" s="23">
        <v>5000</v>
      </c>
      <c r="G42" s="23">
        <v>5000</v>
      </c>
      <c r="H42" s="23">
        <v>5000</v>
      </c>
      <c r="I42" s="9">
        <f t="shared" si="0"/>
        <v>20000</v>
      </c>
    </row>
    <row r="43" spans="1:9" ht="12.75">
      <c r="A43" s="20" t="s">
        <v>47</v>
      </c>
      <c r="B43" s="28" t="s">
        <v>19</v>
      </c>
      <c r="C43" s="29">
        <v>1</v>
      </c>
      <c r="D43" s="30">
        <v>1700</v>
      </c>
      <c r="E43" s="9"/>
      <c r="F43" s="9">
        <f>C43*D43/2</f>
        <v>850</v>
      </c>
      <c r="G43" s="9"/>
      <c r="H43" s="9">
        <f>C43/2*D43</f>
        <v>850</v>
      </c>
      <c r="I43" s="9">
        <f t="shared" si="0"/>
        <v>1700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</v>
      </c>
      <c r="D45" s="24">
        <v>0</v>
      </c>
      <c r="E45" s="23">
        <f>$C$45*$D$45*3</f>
        <v>0</v>
      </c>
      <c r="F45" s="23">
        <f>$C$45*$D$45*3</f>
        <v>0</v>
      </c>
      <c r="G45" s="23">
        <f>$C$45*$D$45*3</f>
        <v>0</v>
      </c>
      <c r="H45" s="23">
        <f>$C$45*$D$45*3</f>
        <v>0</v>
      </c>
      <c r="I45" s="9">
        <f>SUM(E45:H45)</f>
        <v>0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4500</v>
      </c>
      <c r="D47" s="30">
        <v>6</v>
      </c>
      <c r="E47" s="23">
        <f>$C$47*$D$47*3</f>
        <v>81000</v>
      </c>
      <c r="F47" s="23">
        <f>$C$47*$D$47*3</f>
        <v>81000</v>
      </c>
      <c r="G47" s="23">
        <f>$C$47*$D$47*3</f>
        <v>81000</v>
      </c>
      <c r="H47" s="23">
        <f>$C$47*$D$47*3</f>
        <v>81000</v>
      </c>
      <c r="I47" s="9">
        <f>SUM(E47:H47)</f>
        <v>324000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12252.05</v>
      </c>
      <c r="E49" s="23">
        <f>$C$49*$D$49*3</f>
        <v>59544.963</v>
      </c>
      <c r="F49" s="23">
        <f>$C$49*$D$49*3</f>
        <v>59544.963</v>
      </c>
      <c r="G49" s="23">
        <f>$C$49*$D$49*3</f>
        <v>59544.963</v>
      </c>
      <c r="H49" s="23">
        <f>$C$49*$D$49*3</f>
        <v>59544.963</v>
      </c>
      <c r="I49" s="9">
        <f>SUM(E49:H49)</f>
        <v>238179.852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15039</v>
      </c>
      <c r="F51" s="9">
        <v>15039</v>
      </c>
      <c r="G51" s="9">
        <v>15039</v>
      </c>
      <c r="H51" s="9">
        <v>15038</v>
      </c>
      <c r="I51" s="9">
        <f>SUM(E51:H51)</f>
        <v>60155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221</v>
      </c>
      <c r="E52" s="23">
        <f>$C$52*$D$52*3</f>
        <v>2610.0771839999998</v>
      </c>
      <c r="F52" s="23">
        <f>$C$52*$D$52*3</f>
        <v>2610.0771839999998</v>
      </c>
      <c r="G52" s="23">
        <f>$C$52*$D$52*3</f>
        <v>2610.0771839999998</v>
      </c>
      <c r="H52" s="23">
        <f>$C$52*$D$52*3</f>
        <v>2610.0771839999998</v>
      </c>
      <c r="I52" s="9">
        <f>SUM(E52:H52)</f>
        <v>10440.308735999999</v>
      </c>
    </row>
    <row r="53" spans="1:9" ht="12.75">
      <c r="A53" s="32" t="s">
        <v>20</v>
      </c>
      <c r="B53" s="33"/>
      <c r="C53" s="34"/>
      <c r="D53" s="33"/>
      <c r="E53" s="12">
        <f>SUM(E33:E52)</f>
        <v>277173.752184</v>
      </c>
      <c r="F53" s="12">
        <f>SUM(F33:F52)</f>
        <v>278101.752184</v>
      </c>
      <c r="G53" s="12">
        <f>SUM(G33:G52)</f>
        <v>277251.752184</v>
      </c>
      <c r="H53" s="12">
        <f>SUM(H33:H52)</f>
        <v>278100.752184</v>
      </c>
      <c r="I53" s="12">
        <f>SUM(I33:I52)</f>
        <v>1110628.008736</v>
      </c>
    </row>
    <row r="54" spans="1:9" ht="12.75">
      <c r="A54" s="10" t="s">
        <v>35</v>
      </c>
      <c r="B54" s="6"/>
      <c r="C54" s="35"/>
      <c r="D54" s="6"/>
      <c r="E54" s="36">
        <v>34689</v>
      </c>
      <c r="F54" s="36">
        <v>34690</v>
      </c>
      <c r="G54" s="36">
        <v>34690</v>
      </c>
      <c r="H54" s="36">
        <v>34690</v>
      </c>
      <c r="I54" s="36">
        <f>SUM(E54:H54)</f>
        <v>138759</v>
      </c>
    </row>
    <row r="55" spans="1:9" ht="12.75">
      <c r="A55" s="37" t="s">
        <v>21</v>
      </c>
      <c r="B55" s="6"/>
      <c r="C55" s="35"/>
      <c r="D55" s="6"/>
      <c r="E55" s="38">
        <f>SUM(E53:E54)</f>
        <v>311862.752184</v>
      </c>
      <c r="F55" s="38">
        <f>SUM(F53:F54)</f>
        <v>312791.752184</v>
      </c>
      <c r="G55" s="38">
        <f>SUM(G53:G54)</f>
        <v>311941.752184</v>
      </c>
      <c r="H55" s="38">
        <f>SUM(H53:H54)</f>
        <v>312790.752184</v>
      </c>
      <c r="I55" s="38">
        <f>SUM(I53:I54)</f>
        <v>1249387.008736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0.34926399984396994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8">
      <selection activeCell="D40" sqref="D40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93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-70263.34</v>
      </c>
    </row>
    <row r="19" spans="1:2" ht="25.5">
      <c r="A19" s="42" t="s">
        <v>24</v>
      </c>
      <c r="B19" s="9">
        <v>226267.88</v>
      </c>
    </row>
    <row r="20" spans="1:2" ht="25.5">
      <c r="A20" s="42" t="s">
        <v>25</v>
      </c>
      <c r="B20" s="9">
        <v>20360.27</v>
      </c>
    </row>
    <row r="21" spans="1:2" ht="12.75">
      <c r="A21" s="42" t="s">
        <v>27</v>
      </c>
      <c r="B21" s="9">
        <v>69148.08</v>
      </c>
    </row>
    <row r="22" spans="1:2" ht="12.75">
      <c r="A22" s="10" t="s">
        <v>35</v>
      </c>
      <c r="B22" s="9">
        <f>(B19++B20+B21)*10%</f>
        <v>31577.623</v>
      </c>
    </row>
    <row r="23" spans="1:2" ht="12.75">
      <c r="A23" s="43" t="s">
        <v>28</v>
      </c>
      <c r="B23" s="12">
        <f>B18+B20+B19+B21-B22</f>
        <v>213935.26700000002</v>
      </c>
    </row>
    <row r="24" spans="1:2" ht="12.75">
      <c r="A24" s="42" t="s">
        <v>29</v>
      </c>
      <c r="B24" s="13">
        <v>5.89</v>
      </c>
    </row>
    <row r="25" spans="1:2" ht="25.5">
      <c r="A25" s="42" t="s">
        <v>30</v>
      </c>
      <c r="B25" s="13">
        <v>0.53</v>
      </c>
    </row>
    <row r="26" spans="1:2" ht="12.75">
      <c r="A26" s="8" t="s">
        <v>6</v>
      </c>
      <c r="B26" s="13">
        <v>1.8</v>
      </c>
    </row>
    <row r="27" spans="1:2" ht="12.75">
      <c r="A27" s="14"/>
      <c r="B27" s="15"/>
    </row>
    <row r="28" spans="1:9" ht="27" customHeight="1">
      <c r="A28" s="109" t="s">
        <v>7</v>
      </c>
      <c r="B28" s="110" t="s">
        <v>8</v>
      </c>
      <c r="C28" s="109" t="s">
        <v>9</v>
      </c>
      <c r="D28" s="110" t="s">
        <v>10</v>
      </c>
      <c r="E28" s="111" t="s">
        <v>11</v>
      </c>
      <c r="F28" s="112"/>
      <c r="G28" s="112"/>
      <c r="H28" s="113"/>
      <c r="I28" s="109" t="s">
        <v>12</v>
      </c>
    </row>
    <row r="29" spans="1:9" ht="12.75">
      <c r="A29" s="110"/>
      <c r="B29" s="110"/>
      <c r="C29" s="110"/>
      <c r="D29" s="110"/>
      <c r="E29" s="17" t="s">
        <v>13</v>
      </c>
      <c r="F29" s="18" t="s">
        <v>14</v>
      </c>
      <c r="G29" s="18" t="s">
        <v>15</v>
      </c>
      <c r="H29" s="18" t="s">
        <v>16</v>
      </c>
      <c r="I29" s="110"/>
    </row>
    <row r="30" spans="1:9" ht="12.75">
      <c r="A30" s="19" t="s">
        <v>36</v>
      </c>
      <c r="B30" s="16"/>
      <c r="C30" s="16"/>
      <c r="D30" s="16"/>
      <c r="E30" s="17"/>
      <c r="F30" s="18"/>
      <c r="G30" s="18"/>
      <c r="H30" s="18"/>
      <c r="I30" s="16"/>
    </row>
    <row r="31" spans="1:9" ht="12.75">
      <c r="A31" s="20" t="s">
        <v>37</v>
      </c>
      <c r="B31" s="21"/>
      <c r="C31" s="22"/>
      <c r="D31" s="17"/>
      <c r="E31" s="23">
        <v>1000</v>
      </c>
      <c r="F31" s="23">
        <v>1000</v>
      </c>
      <c r="G31" s="23">
        <v>1000</v>
      </c>
      <c r="H31" s="23">
        <v>1000</v>
      </c>
      <c r="I31" s="9">
        <f aca="true" t="shared" si="0" ref="I31:I44">SUM(E31:H31)</f>
        <v>4000</v>
      </c>
    </row>
    <row r="32" spans="1:9" ht="25.5">
      <c r="A32" s="47" t="s">
        <v>38</v>
      </c>
      <c r="B32" s="21" t="s">
        <v>17</v>
      </c>
      <c r="C32" s="22">
        <v>0.52</v>
      </c>
      <c r="D32" s="24">
        <v>3201.3</v>
      </c>
      <c r="E32" s="23">
        <f>$C$32*$D$32*3</f>
        <v>4994.028</v>
      </c>
      <c r="F32" s="23">
        <f>$C$32*$D$32*3</f>
        <v>4994.028</v>
      </c>
      <c r="G32" s="23">
        <f>$C$32*$D$32*3</f>
        <v>4994.028</v>
      </c>
      <c r="H32" s="23">
        <f>$C$32*$D$32*3</f>
        <v>4994.028</v>
      </c>
      <c r="I32" s="9">
        <f t="shared" si="0"/>
        <v>19976.112</v>
      </c>
    </row>
    <row r="33" spans="1:9" ht="25.5">
      <c r="A33" s="47" t="s">
        <v>39</v>
      </c>
      <c r="B33" s="21" t="s">
        <v>17</v>
      </c>
      <c r="C33" s="22">
        <v>0.87</v>
      </c>
      <c r="D33" s="24">
        <v>3201.3</v>
      </c>
      <c r="E33" s="23">
        <f>$C$33*$D$33*3</f>
        <v>8355.393</v>
      </c>
      <c r="F33" s="23">
        <f>$C$33*$D$33*3</f>
        <v>8355.393</v>
      </c>
      <c r="G33" s="23">
        <f>$C$33*$D$33*3</f>
        <v>8355.393</v>
      </c>
      <c r="H33" s="23">
        <f>$C$33*$D$33*3</f>
        <v>8355.393</v>
      </c>
      <c r="I33" s="9">
        <f t="shared" si="0"/>
        <v>33421.572</v>
      </c>
    </row>
    <row r="34" spans="1:9" ht="25.5">
      <c r="A34" s="20" t="s">
        <v>40</v>
      </c>
      <c r="B34" s="21" t="s">
        <v>17</v>
      </c>
      <c r="C34" s="22">
        <v>0.31</v>
      </c>
      <c r="D34" s="24">
        <v>3201.3</v>
      </c>
      <c r="E34" s="23">
        <f>$C$34*$D$34*3</f>
        <v>2977.209</v>
      </c>
      <c r="F34" s="23">
        <f>$C$34*$D$34*3</f>
        <v>2977.209</v>
      </c>
      <c r="G34" s="23">
        <f>$C$34*$D$34*3</f>
        <v>2977.209</v>
      </c>
      <c r="H34" s="23">
        <f>$C$34*$D$34*3</f>
        <v>2977.209</v>
      </c>
      <c r="I34" s="9">
        <f t="shared" si="0"/>
        <v>11908.836</v>
      </c>
    </row>
    <row r="35" spans="1:9" ht="25.5">
      <c r="A35" s="47" t="s">
        <v>41</v>
      </c>
      <c r="B35" s="21" t="s">
        <v>17</v>
      </c>
      <c r="C35" s="25">
        <v>0.3</v>
      </c>
      <c r="D35" s="24">
        <v>3201.3</v>
      </c>
      <c r="E35" s="23">
        <f>$C$35*$D$35*3</f>
        <v>2881.17</v>
      </c>
      <c r="F35" s="23">
        <f>$C$35*$D$35*3</f>
        <v>2881.17</v>
      </c>
      <c r="G35" s="23">
        <f>$C$35*$D$35*3</f>
        <v>2881.17</v>
      </c>
      <c r="H35" s="23">
        <f>$C$35*$D$35*3</f>
        <v>2881.17</v>
      </c>
      <c r="I35" s="9">
        <f t="shared" si="0"/>
        <v>11524.68</v>
      </c>
    </row>
    <row r="36" spans="1:9" ht="25.5">
      <c r="A36" s="26" t="s">
        <v>42</v>
      </c>
      <c r="B36" s="17"/>
      <c r="C36" s="17"/>
      <c r="D36" s="17"/>
      <c r="E36" s="23">
        <v>1000</v>
      </c>
      <c r="F36" s="23">
        <v>1000</v>
      </c>
      <c r="G36" s="23">
        <v>1000</v>
      </c>
      <c r="H36" s="23">
        <v>1000</v>
      </c>
      <c r="I36" s="9">
        <f t="shared" si="0"/>
        <v>4000</v>
      </c>
    </row>
    <row r="37" spans="1:10" ht="25.5">
      <c r="A37" s="48" t="s">
        <v>43</v>
      </c>
      <c r="B37" s="21" t="s">
        <v>17</v>
      </c>
      <c r="C37" s="22">
        <v>0.95</v>
      </c>
      <c r="D37" s="24">
        <v>3201.3</v>
      </c>
      <c r="E37" s="23">
        <f>$C$37*$D$37*3</f>
        <v>9123.705</v>
      </c>
      <c r="F37" s="23">
        <f>$C$37*$D$37*3</f>
        <v>9123.705</v>
      </c>
      <c r="G37" s="23">
        <f>$C$37*$D$37*3</f>
        <v>9123.705</v>
      </c>
      <c r="H37" s="23">
        <f>$C$37*$D$37*3</f>
        <v>9123.705</v>
      </c>
      <c r="I37" s="9">
        <f t="shared" si="0"/>
        <v>36494.82</v>
      </c>
      <c r="J37" s="27"/>
    </row>
    <row r="38" spans="1:9" ht="25.5">
      <c r="A38" s="48" t="s">
        <v>44</v>
      </c>
      <c r="B38" s="21" t="s">
        <v>17</v>
      </c>
      <c r="C38" s="22">
        <v>0.55</v>
      </c>
      <c r="D38" s="24">
        <v>3201.3</v>
      </c>
      <c r="E38" s="23">
        <f>$C$38*$D$38*3</f>
        <v>5282.145</v>
      </c>
      <c r="F38" s="23">
        <f>$C$38*$D$38*3</f>
        <v>5282.145</v>
      </c>
      <c r="G38" s="23">
        <f>$C$38*$D$38*3</f>
        <v>5282.145</v>
      </c>
      <c r="H38" s="23">
        <f>$C$38*$D$38*3</f>
        <v>5282.145</v>
      </c>
      <c r="I38" s="9">
        <f t="shared" si="0"/>
        <v>21128.58</v>
      </c>
    </row>
    <row r="39" spans="1:9" ht="25.5">
      <c r="A39" s="48" t="s">
        <v>75</v>
      </c>
      <c r="B39" s="17"/>
      <c r="C39" s="17"/>
      <c r="D39" s="17"/>
      <c r="E39" s="23">
        <v>1000</v>
      </c>
      <c r="F39" s="23">
        <v>1000</v>
      </c>
      <c r="G39" s="23">
        <v>1000</v>
      </c>
      <c r="H39" s="23">
        <v>1000</v>
      </c>
      <c r="I39" s="9">
        <f t="shared" si="0"/>
        <v>4000</v>
      </c>
    </row>
    <row r="40" spans="1:9" ht="12.75">
      <c r="A40" s="20" t="s">
        <v>76</v>
      </c>
      <c r="B40" s="28" t="s">
        <v>19</v>
      </c>
      <c r="C40" s="29">
        <v>1</v>
      </c>
      <c r="D40" s="30">
        <v>500</v>
      </c>
      <c r="E40" s="9"/>
      <c r="F40" s="9">
        <f>C40*D40/2</f>
        <v>250</v>
      </c>
      <c r="G40" s="9"/>
      <c r="H40" s="9">
        <f>C40/2*D40</f>
        <v>250</v>
      </c>
      <c r="I40" s="9">
        <f t="shared" si="0"/>
        <v>500</v>
      </c>
    </row>
    <row r="41" spans="1:9" ht="12.75">
      <c r="A41" s="44" t="s">
        <v>83</v>
      </c>
      <c r="B41" s="28"/>
      <c r="C41" s="29"/>
      <c r="D41" s="30"/>
      <c r="E41" s="9"/>
      <c r="F41" s="9"/>
      <c r="G41" s="9"/>
      <c r="H41" s="9"/>
      <c r="I41" s="9"/>
    </row>
    <row r="42" spans="1:9" ht="25.5">
      <c r="A42" s="46" t="s">
        <v>82</v>
      </c>
      <c r="B42" s="21" t="s">
        <v>17</v>
      </c>
      <c r="C42" s="49">
        <v>0.7</v>
      </c>
      <c r="D42" s="24">
        <v>3201.3</v>
      </c>
      <c r="E42" s="23">
        <f>$C$42*$D$42*3</f>
        <v>6722.73</v>
      </c>
      <c r="F42" s="23">
        <f>$C$42*$D$42*3</f>
        <v>6722.73</v>
      </c>
      <c r="G42" s="23">
        <f>$C$42*$D$42*3</f>
        <v>6722.73</v>
      </c>
      <c r="H42" s="23">
        <f>$C$42*$D$42*3</f>
        <v>6722.73</v>
      </c>
      <c r="I42" s="9">
        <f t="shared" si="0"/>
        <v>26890.92</v>
      </c>
    </row>
    <row r="43" spans="1:9" ht="12.75">
      <c r="A43" s="44" t="s">
        <v>94</v>
      </c>
      <c r="B43" s="28"/>
      <c r="C43" s="29"/>
      <c r="D43" s="24"/>
      <c r="E43" s="23"/>
      <c r="F43" s="23"/>
      <c r="G43" s="23"/>
      <c r="H43" s="23"/>
      <c r="I43" s="9"/>
    </row>
    <row r="44" spans="1:9" ht="25.5">
      <c r="A44" s="20" t="s">
        <v>95</v>
      </c>
      <c r="B44" s="21" t="s">
        <v>17</v>
      </c>
      <c r="C44" s="29">
        <v>0.48</v>
      </c>
      <c r="D44" s="24">
        <v>3201.3</v>
      </c>
      <c r="E44" s="23">
        <f>$C$44*$D$44*3</f>
        <v>4609.872</v>
      </c>
      <c r="F44" s="23">
        <f>$C$44*$D$44*3</f>
        <v>4609.872</v>
      </c>
      <c r="G44" s="23">
        <f>$C$44*$D$44*3</f>
        <v>4609.872</v>
      </c>
      <c r="H44" s="23">
        <f>$C$44*$D$44*3</f>
        <v>4609.872</v>
      </c>
      <c r="I44" s="9">
        <f t="shared" si="0"/>
        <v>18439.488</v>
      </c>
    </row>
    <row r="45" spans="1:9" ht="12.75">
      <c r="A45" s="44" t="s">
        <v>52</v>
      </c>
      <c r="B45" s="28"/>
      <c r="C45" s="29"/>
      <c r="D45" s="30"/>
      <c r="E45" s="9"/>
      <c r="F45" s="9"/>
      <c r="G45" s="9"/>
      <c r="H45" s="9"/>
      <c r="I45" s="9"/>
    </row>
    <row r="46" spans="1:9" ht="25.5">
      <c r="A46" s="20" t="s">
        <v>53</v>
      </c>
      <c r="B46" s="21" t="s">
        <v>17</v>
      </c>
      <c r="C46" s="29">
        <v>1.62</v>
      </c>
      <c r="D46" s="24">
        <v>3201.3</v>
      </c>
      <c r="E46" s="23">
        <f>$C$46*$D$46*3</f>
        <v>15558.318000000003</v>
      </c>
      <c r="F46" s="23">
        <f>$C$46*$D$46*3</f>
        <v>15558.318000000003</v>
      </c>
      <c r="G46" s="23">
        <f>$C$46*$D$46*3</f>
        <v>15558.318000000003</v>
      </c>
      <c r="H46" s="23">
        <f>$C$46*$D$46*3</f>
        <v>15558.318000000003</v>
      </c>
      <c r="I46" s="9">
        <f>SUM(E46:H46)</f>
        <v>62233.27200000001</v>
      </c>
    </row>
    <row r="47" spans="1:9" ht="12.75">
      <c r="A47" s="45" t="s">
        <v>54</v>
      </c>
      <c r="B47" s="28"/>
      <c r="C47" s="29"/>
      <c r="D47" s="30"/>
      <c r="E47" s="9"/>
      <c r="F47" s="9"/>
      <c r="G47" s="9"/>
      <c r="H47" s="9"/>
      <c r="I47" s="9"/>
    </row>
    <row r="48" spans="1:9" ht="25.5">
      <c r="A48" s="48" t="s">
        <v>57</v>
      </c>
      <c r="B48" s="28"/>
      <c r="C48" s="29"/>
      <c r="D48" s="30"/>
      <c r="E48" s="9">
        <v>4234</v>
      </c>
      <c r="F48" s="9">
        <v>4234</v>
      </c>
      <c r="G48" s="9">
        <v>4235</v>
      </c>
      <c r="H48" s="9">
        <v>4235</v>
      </c>
      <c r="I48" s="9">
        <f>SUM(E48:H48)</f>
        <v>16938</v>
      </c>
    </row>
    <row r="49" spans="1:9" ht="12.75">
      <c r="A49" s="46" t="s">
        <v>55</v>
      </c>
      <c r="B49" s="21" t="s">
        <v>56</v>
      </c>
      <c r="C49" s="49">
        <f>3+0.936768</f>
        <v>3.936768</v>
      </c>
      <c r="D49" s="31">
        <v>85</v>
      </c>
      <c r="E49" s="23">
        <f>$C$49*$D$49*3</f>
        <v>1003.8758399999999</v>
      </c>
      <c r="F49" s="23">
        <f>$C$49*$D$49*3</f>
        <v>1003.8758399999999</v>
      </c>
      <c r="G49" s="23">
        <f>$C$49*$D$49*3</f>
        <v>1003.8758399999999</v>
      </c>
      <c r="H49" s="23">
        <f>$C$49*$D$49*3</f>
        <v>1003.8758399999999</v>
      </c>
      <c r="I49" s="9">
        <f>SUM(E49:H49)</f>
        <v>4015.5033599999997</v>
      </c>
    </row>
    <row r="50" spans="1:9" ht="12.75">
      <c r="A50" s="32" t="s">
        <v>20</v>
      </c>
      <c r="B50" s="33"/>
      <c r="C50" s="34"/>
      <c r="D50" s="33"/>
      <c r="E50" s="12">
        <f>SUM(E31:E49)</f>
        <v>68742.44584</v>
      </c>
      <c r="F50" s="12">
        <f>SUM(F31:F49)</f>
        <v>68992.44584</v>
      </c>
      <c r="G50" s="12">
        <f>SUM(G31:G49)</f>
        <v>68743.44584</v>
      </c>
      <c r="H50" s="12">
        <f>SUM(H31:H49)</f>
        <v>68993.44584</v>
      </c>
      <c r="I50" s="12">
        <f>SUM(I31:I49)</f>
        <v>275471.78336</v>
      </c>
    </row>
    <row r="51" spans="1:9" ht="12.75">
      <c r="A51" s="10" t="s">
        <v>35</v>
      </c>
      <c r="B51" s="6"/>
      <c r="C51" s="35"/>
      <c r="D51" s="6"/>
      <c r="E51" s="36">
        <v>7894</v>
      </c>
      <c r="F51" s="36">
        <v>7894</v>
      </c>
      <c r="G51" s="36">
        <v>7895</v>
      </c>
      <c r="H51" s="36">
        <v>7895</v>
      </c>
      <c r="I51" s="36">
        <f>SUM(E51:H51)</f>
        <v>31578</v>
      </c>
    </row>
    <row r="52" spans="1:9" ht="12.75">
      <c r="A52" s="37" t="s">
        <v>21</v>
      </c>
      <c r="B52" s="6"/>
      <c r="C52" s="35"/>
      <c r="D52" s="6"/>
      <c r="E52" s="38">
        <f>SUM(E50:E51)</f>
        <v>76636.44584</v>
      </c>
      <c r="F52" s="38">
        <f>SUM(F50:F51)</f>
        <v>76886.44584</v>
      </c>
      <c r="G52" s="38">
        <f>SUM(G50:G51)</f>
        <v>76638.44584</v>
      </c>
      <c r="H52" s="38">
        <f>SUM(H50:H51)</f>
        <v>76888.44584</v>
      </c>
      <c r="I52" s="38">
        <f>SUM(I50:I51)</f>
        <v>307049.78336</v>
      </c>
    </row>
    <row r="53" spans="1:9" ht="12.75">
      <c r="A53" s="39" t="s">
        <v>22</v>
      </c>
      <c r="B53" s="39"/>
      <c r="C53" s="39"/>
      <c r="D53" s="39"/>
      <c r="E53" s="39"/>
      <c r="F53" s="39"/>
      <c r="G53" s="39"/>
      <c r="H53" s="39"/>
      <c r="I53" s="40">
        <f>B23-I50</f>
        <v>-61536.51635999998</v>
      </c>
    </row>
    <row r="55" spans="1:5" ht="12.75">
      <c r="A55" s="51"/>
      <c r="E55" s="11"/>
    </row>
  </sheetData>
  <mergeCells count="9">
    <mergeCell ref="A13:I13"/>
    <mergeCell ref="A14:I14"/>
    <mergeCell ref="A15:I15"/>
    <mergeCell ref="A28:A29"/>
    <mergeCell ref="B28:B29"/>
    <mergeCell ref="C28:C29"/>
    <mergeCell ref="D28:D29"/>
    <mergeCell ref="E28:H28"/>
    <mergeCell ref="I28:I2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8">
      <selection activeCell="C40" sqref="C40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74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-48593.52</v>
      </c>
    </row>
    <row r="19" spans="1:2" ht="25.5">
      <c r="A19" s="42" t="s">
        <v>24</v>
      </c>
      <c r="B19" s="9">
        <v>176374.87</v>
      </c>
    </row>
    <row r="20" spans="1:2" ht="12.75">
      <c r="A20" s="42" t="s">
        <v>27</v>
      </c>
      <c r="B20" s="9">
        <v>53900.64</v>
      </c>
    </row>
    <row r="21" spans="1:2" ht="12.75">
      <c r="A21" s="10" t="s">
        <v>35</v>
      </c>
      <c r="B21" s="9">
        <f>(B19+B20)*10%</f>
        <v>23027.551000000003</v>
      </c>
    </row>
    <row r="22" spans="1:2" ht="12.75">
      <c r="A22" s="43" t="s">
        <v>28</v>
      </c>
      <c r="B22" s="12">
        <f>B18+B19+B20-B21</f>
        <v>158654.43899999998</v>
      </c>
    </row>
    <row r="23" spans="1:2" ht="12.75">
      <c r="A23" s="42" t="s">
        <v>29</v>
      </c>
      <c r="B23" s="13">
        <v>5.89</v>
      </c>
    </row>
    <row r="24" spans="1:2" ht="12.75">
      <c r="A24" s="8" t="s">
        <v>6</v>
      </c>
      <c r="B24" s="13">
        <v>1.8</v>
      </c>
    </row>
    <row r="25" spans="1:2" ht="12.75">
      <c r="A25" s="14"/>
      <c r="B25" s="15"/>
    </row>
    <row r="26" spans="1:9" ht="27" customHeight="1">
      <c r="A26" s="109" t="s">
        <v>7</v>
      </c>
      <c r="B26" s="110" t="s">
        <v>8</v>
      </c>
      <c r="C26" s="109" t="s">
        <v>9</v>
      </c>
      <c r="D26" s="110" t="s">
        <v>10</v>
      </c>
      <c r="E26" s="111" t="s">
        <v>11</v>
      </c>
      <c r="F26" s="112"/>
      <c r="G26" s="112"/>
      <c r="H26" s="113"/>
      <c r="I26" s="109" t="s">
        <v>12</v>
      </c>
    </row>
    <row r="27" spans="1:9" ht="12.75">
      <c r="A27" s="110"/>
      <c r="B27" s="110"/>
      <c r="C27" s="110"/>
      <c r="D27" s="110"/>
      <c r="E27" s="17" t="s">
        <v>13</v>
      </c>
      <c r="F27" s="18" t="s">
        <v>14</v>
      </c>
      <c r="G27" s="18" t="s">
        <v>15</v>
      </c>
      <c r="H27" s="18" t="s">
        <v>16</v>
      </c>
      <c r="I27" s="110"/>
    </row>
    <row r="28" spans="1:9" ht="12.75">
      <c r="A28" s="19" t="s">
        <v>36</v>
      </c>
      <c r="B28" s="16"/>
      <c r="C28" s="16"/>
      <c r="D28" s="16"/>
      <c r="E28" s="17"/>
      <c r="F28" s="18"/>
      <c r="G28" s="18"/>
      <c r="H28" s="18"/>
      <c r="I28" s="16"/>
    </row>
    <row r="29" spans="1:9" ht="12.75">
      <c r="A29" s="20" t="s">
        <v>37</v>
      </c>
      <c r="B29" s="21"/>
      <c r="C29" s="22"/>
      <c r="D29" s="17"/>
      <c r="E29" s="23">
        <v>1000</v>
      </c>
      <c r="F29" s="23">
        <v>1000</v>
      </c>
      <c r="G29" s="23">
        <v>1000</v>
      </c>
      <c r="H29" s="23">
        <v>1000</v>
      </c>
      <c r="I29" s="9">
        <f aca="true" t="shared" si="0" ref="I29:I40">SUM(E29:H29)</f>
        <v>4000</v>
      </c>
    </row>
    <row r="30" spans="1:9" ht="25.5">
      <c r="A30" s="47" t="s">
        <v>38</v>
      </c>
      <c r="B30" s="21" t="s">
        <v>17</v>
      </c>
      <c r="C30" s="22">
        <v>0.52</v>
      </c>
      <c r="D30" s="24">
        <v>2495.4</v>
      </c>
      <c r="E30" s="23">
        <f>$C$30*$D$30*3</f>
        <v>3892.8240000000005</v>
      </c>
      <c r="F30" s="23">
        <f>$C$30*$D$30*3</f>
        <v>3892.8240000000005</v>
      </c>
      <c r="G30" s="23">
        <f>$C$30*$D$30*3</f>
        <v>3892.8240000000005</v>
      </c>
      <c r="H30" s="23">
        <f>$C$30*$D$30*3</f>
        <v>3892.8240000000005</v>
      </c>
      <c r="I30" s="9">
        <f t="shared" si="0"/>
        <v>15571.296000000002</v>
      </c>
    </row>
    <row r="31" spans="1:9" ht="25.5">
      <c r="A31" s="47" t="s">
        <v>39</v>
      </c>
      <c r="B31" s="21" t="s">
        <v>17</v>
      </c>
      <c r="C31" s="22">
        <v>0.87</v>
      </c>
      <c r="D31" s="24">
        <v>2495.4</v>
      </c>
      <c r="E31" s="23">
        <f>$C$31*$D$31*3</f>
        <v>6512.994000000001</v>
      </c>
      <c r="F31" s="23">
        <f>$C$31*$D$31*3</f>
        <v>6512.994000000001</v>
      </c>
      <c r="G31" s="23">
        <f>$C$31*$D$31*3</f>
        <v>6512.994000000001</v>
      </c>
      <c r="H31" s="23">
        <f>$C$31*$D$31*3</f>
        <v>6512.994000000001</v>
      </c>
      <c r="I31" s="9">
        <f t="shared" si="0"/>
        <v>26051.976000000002</v>
      </c>
    </row>
    <row r="32" spans="1:9" ht="25.5">
      <c r="A32" s="20" t="s">
        <v>40</v>
      </c>
      <c r="B32" s="21" t="s">
        <v>17</v>
      </c>
      <c r="C32" s="22">
        <v>0.31</v>
      </c>
      <c r="D32" s="24">
        <v>2495.4</v>
      </c>
      <c r="E32" s="23">
        <f>$C$32*$D$32*3</f>
        <v>2320.722</v>
      </c>
      <c r="F32" s="23">
        <f>$C$32*$D$32*3</f>
        <v>2320.722</v>
      </c>
      <c r="G32" s="23">
        <f>$C$32*$D$32*3</f>
        <v>2320.722</v>
      </c>
      <c r="H32" s="23">
        <f>$C$32*$D$32*3</f>
        <v>2320.722</v>
      </c>
      <c r="I32" s="9">
        <f t="shared" si="0"/>
        <v>9282.888</v>
      </c>
    </row>
    <row r="33" spans="1:9" ht="25.5">
      <c r="A33" s="47" t="s">
        <v>41</v>
      </c>
      <c r="B33" s="21" t="s">
        <v>17</v>
      </c>
      <c r="C33" s="25">
        <v>0.3</v>
      </c>
      <c r="D33" s="24">
        <v>2495.4</v>
      </c>
      <c r="E33" s="23">
        <f>$C$33*$D$33*3</f>
        <v>2245.86</v>
      </c>
      <c r="F33" s="23">
        <f>$C$33*$D$33*3</f>
        <v>2245.86</v>
      </c>
      <c r="G33" s="23">
        <f>$C$33*$D$33*3</f>
        <v>2245.86</v>
      </c>
      <c r="H33" s="23">
        <f>$C$33*$D$33*3</f>
        <v>2245.86</v>
      </c>
      <c r="I33" s="9">
        <f t="shared" si="0"/>
        <v>8983.44</v>
      </c>
    </row>
    <row r="34" spans="1:9" ht="25.5">
      <c r="A34" s="26" t="s">
        <v>42</v>
      </c>
      <c r="B34" s="17"/>
      <c r="C34" s="17"/>
      <c r="D34" s="17"/>
      <c r="E34" s="23">
        <v>1000</v>
      </c>
      <c r="F34" s="23">
        <v>1000</v>
      </c>
      <c r="G34" s="23">
        <v>1000</v>
      </c>
      <c r="H34" s="23">
        <v>1000</v>
      </c>
      <c r="I34" s="9">
        <f t="shared" si="0"/>
        <v>4000</v>
      </c>
    </row>
    <row r="35" spans="1:10" ht="25.5">
      <c r="A35" s="48" t="s">
        <v>43</v>
      </c>
      <c r="B35" s="21" t="s">
        <v>17</v>
      </c>
      <c r="C35" s="22">
        <v>0.95</v>
      </c>
      <c r="D35" s="24">
        <v>2495.4</v>
      </c>
      <c r="E35" s="23">
        <f>$C$35*$D$35*3</f>
        <v>7111.89</v>
      </c>
      <c r="F35" s="23">
        <f>$C$35*$D$35*3</f>
        <v>7111.89</v>
      </c>
      <c r="G35" s="23">
        <f>$C$35*$D$35*3</f>
        <v>7111.89</v>
      </c>
      <c r="H35" s="23">
        <f>$C$35*$D$35*3</f>
        <v>7111.89</v>
      </c>
      <c r="I35" s="9">
        <f t="shared" si="0"/>
        <v>28447.56</v>
      </c>
      <c r="J35" s="27"/>
    </row>
    <row r="36" spans="1:9" ht="25.5">
      <c r="A36" s="48" t="s">
        <v>44</v>
      </c>
      <c r="B36" s="21" t="s">
        <v>17</v>
      </c>
      <c r="C36" s="22">
        <v>0.55</v>
      </c>
      <c r="D36" s="24">
        <v>2495.4</v>
      </c>
      <c r="E36" s="23">
        <f>$C$36*$D$36*3</f>
        <v>4117.410000000001</v>
      </c>
      <c r="F36" s="23">
        <f>$C$36*$D$36*3</f>
        <v>4117.410000000001</v>
      </c>
      <c r="G36" s="23">
        <f>$C$36*$D$36*3</f>
        <v>4117.410000000001</v>
      </c>
      <c r="H36" s="23">
        <f>$C$36*$D$36*3</f>
        <v>4117.410000000001</v>
      </c>
      <c r="I36" s="9">
        <f t="shared" si="0"/>
        <v>16469.640000000003</v>
      </c>
    </row>
    <row r="37" spans="1:9" ht="25.5">
      <c r="A37" s="48" t="s">
        <v>75</v>
      </c>
      <c r="B37" s="17"/>
      <c r="C37" s="17"/>
      <c r="D37" s="17"/>
      <c r="E37" s="23">
        <v>1000</v>
      </c>
      <c r="F37" s="23">
        <v>1000</v>
      </c>
      <c r="G37" s="23">
        <v>1000</v>
      </c>
      <c r="H37" s="23">
        <v>1000</v>
      </c>
      <c r="I37" s="9">
        <f t="shared" si="0"/>
        <v>4000</v>
      </c>
    </row>
    <row r="38" spans="1:9" ht="12.75">
      <c r="A38" s="20" t="s">
        <v>76</v>
      </c>
      <c r="B38" s="28" t="s">
        <v>19</v>
      </c>
      <c r="C38" s="29">
        <v>1</v>
      </c>
      <c r="D38" s="30">
        <v>561.5</v>
      </c>
      <c r="E38" s="9"/>
      <c r="F38" s="9">
        <f>C38*D38/2</f>
        <v>280.75</v>
      </c>
      <c r="G38" s="9"/>
      <c r="H38" s="9">
        <f>C38/2*D38</f>
        <v>280.75</v>
      </c>
      <c r="I38" s="9">
        <f t="shared" si="0"/>
        <v>561.5</v>
      </c>
    </row>
    <row r="39" spans="1:9" ht="12.75">
      <c r="A39" s="44" t="s">
        <v>83</v>
      </c>
      <c r="B39" s="28"/>
      <c r="C39" s="29"/>
      <c r="D39" s="30"/>
      <c r="E39" s="9"/>
      <c r="F39" s="9"/>
      <c r="G39" s="9"/>
      <c r="H39" s="9"/>
      <c r="I39" s="9"/>
    </row>
    <row r="40" spans="1:9" ht="25.5">
      <c r="A40" s="46" t="s">
        <v>82</v>
      </c>
      <c r="B40" s="21" t="s">
        <v>17</v>
      </c>
      <c r="C40" s="49">
        <v>0.7</v>
      </c>
      <c r="D40" s="24">
        <v>2495.4</v>
      </c>
      <c r="E40" s="23">
        <f>$C$40*$D$40*3</f>
        <v>5240.34</v>
      </c>
      <c r="F40" s="23">
        <f>$C$40*$D$40*3</f>
        <v>5240.34</v>
      </c>
      <c r="G40" s="23">
        <f>$C$40*$D$40*3</f>
        <v>5240.34</v>
      </c>
      <c r="H40" s="23">
        <f>$C$40*$D$40*3</f>
        <v>5240.34</v>
      </c>
      <c r="I40" s="9">
        <f t="shared" si="0"/>
        <v>20961.36</v>
      </c>
    </row>
    <row r="41" spans="1:9" ht="12.75">
      <c r="A41" s="44" t="s">
        <v>77</v>
      </c>
      <c r="B41" s="28"/>
      <c r="C41" s="29"/>
      <c r="D41" s="30"/>
      <c r="E41" s="9"/>
      <c r="F41" s="9"/>
      <c r="G41" s="9"/>
      <c r="H41" s="9"/>
      <c r="I41" s="9"/>
    </row>
    <row r="42" spans="1:9" ht="25.5">
      <c r="A42" s="20" t="s">
        <v>78</v>
      </c>
      <c r="B42" s="21" t="s">
        <v>17</v>
      </c>
      <c r="C42" s="29">
        <v>1.62</v>
      </c>
      <c r="D42" s="24">
        <v>2495.4</v>
      </c>
      <c r="E42" s="23">
        <f>$C$42*$D$42*3</f>
        <v>12127.644</v>
      </c>
      <c r="F42" s="23">
        <f>$C$42*$D$42*3</f>
        <v>12127.644</v>
      </c>
      <c r="G42" s="23">
        <f>$C$42*$D$42*3</f>
        <v>12127.644</v>
      </c>
      <c r="H42" s="23">
        <f>$C$42*$D$42*3</f>
        <v>12127.644</v>
      </c>
      <c r="I42" s="9">
        <f>SUM(E42:H42)</f>
        <v>48510.576</v>
      </c>
    </row>
    <row r="43" spans="1:9" ht="12.75">
      <c r="A43" s="45" t="s">
        <v>79</v>
      </c>
      <c r="B43" s="28"/>
      <c r="C43" s="29"/>
      <c r="D43" s="30"/>
      <c r="E43" s="9"/>
      <c r="F43" s="9"/>
      <c r="G43" s="9"/>
      <c r="H43" s="9"/>
      <c r="I43" s="9"/>
    </row>
    <row r="44" spans="1:9" ht="25.5">
      <c r="A44" s="48" t="s">
        <v>80</v>
      </c>
      <c r="B44" s="28"/>
      <c r="C44" s="29"/>
      <c r="D44" s="30"/>
      <c r="E44" s="9">
        <v>3155</v>
      </c>
      <c r="F44" s="9">
        <v>3155</v>
      </c>
      <c r="G44" s="9">
        <v>3156</v>
      </c>
      <c r="H44" s="9">
        <v>3156</v>
      </c>
      <c r="I44" s="9">
        <f>SUM(E44:H44)</f>
        <v>12622</v>
      </c>
    </row>
    <row r="45" spans="1:9" ht="12.75">
      <c r="A45" s="46" t="s">
        <v>81</v>
      </c>
      <c r="B45" s="21" t="s">
        <v>56</v>
      </c>
      <c r="C45" s="49">
        <f>3+0.936768</f>
        <v>3.936768</v>
      </c>
      <c r="D45" s="31">
        <v>59</v>
      </c>
      <c r="E45" s="23">
        <f>$C$45*$D$45*3</f>
        <v>696.8079359999999</v>
      </c>
      <c r="F45" s="23">
        <f>$C$45*$D$45*3</f>
        <v>696.8079359999999</v>
      </c>
      <c r="G45" s="23">
        <f>$C$45*$D$45*3</f>
        <v>696.8079359999999</v>
      </c>
      <c r="H45" s="23">
        <f>$C$45*$D$45*3</f>
        <v>696.8079359999999</v>
      </c>
      <c r="I45" s="9">
        <f>SUM(E45:H45)</f>
        <v>2787.2317439999997</v>
      </c>
    </row>
    <row r="46" spans="1:9" ht="12.75">
      <c r="A46" s="32" t="s">
        <v>20</v>
      </c>
      <c r="B46" s="33"/>
      <c r="C46" s="34"/>
      <c r="D46" s="33"/>
      <c r="E46" s="12">
        <f>SUM(E29:E45)</f>
        <v>50421.491936</v>
      </c>
      <c r="F46" s="12">
        <f>SUM(F29:F45)</f>
        <v>50702.241936</v>
      </c>
      <c r="G46" s="12">
        <f>SUM(G29:G45)</f>
        <v>50422.491936</v>
      </c>
      <c r="H46" s="12">
        <f>SUM(H29:H45)</f>
        <v>50703.241936</v>
      </c>
      <c r="I46" s="12">
        <f>SUM(I29:I45)</f>
        <v>202249.467744</v>
      </c>
    </row>
    <row r="47" spans="1:9" ht="12.75">
      <c r="A47" s="10" t="s">
        <v>35</v>
      </c>
      <c r="B47" s="6"/>
      <c r="C47" s="35"/>
      <c r="D47" s="6"/>
      <c r="E47" s="36">
        <v>5757</v>
      </c>
      <c r="F47" s="36">
        <v>5757</v>
      </c>
      <c r="G47" s="36">
        <v>5757</v>
      </c>
      <c r="H47" s="36">
        <v>5757</v>
      </c>
      <c r="I47" s="36">
        <f>SUM(E47:H47)</f>
        <v>23028</v>
      </c>
    </row>
    <row r="48" spans="1:9" ht="12.75">
      <c r="A48" s="37" t="s">
        <v>21</v>
      </c>
      <c r="B48" s="6"/>
      <c r="C48" s="35"/>
      <c r="D48" s="6"/>
      <c r="E48" s="38">
        <f>SUM(E46:E47)</f>
        <v>56178.491936</v>
      </c>
      <c r="F48" s="38">
        <f>SUM(F46:F47)</f>
        <v>56459.241936</v>
      </c>
      <c r="G48" s="38">
        <f>SUM(G46:G47)</f>
        <v>56179.491936</v>
      </c>
      <c r="H48" s="38">
        <f>SUM(H46:H47)</f>
        <v>56460.241936</v>
      </c>
      <c r="I48" s="38">
        <f>SUM(I46:I47)</f>
        <v>225277.467744</v>
      </c>
    </row>
    <row r="49" spans="1:9" ht="12.75">
      <c r="A49" s="39" t="s">
        <v>22</v>
      </c>
      <c r="B49" s="39"/>
      <c r="C49" s="39"/>
      <c r="D49" s="39"/>
      <c r="E49" s="39"/>
      <c r="F49" s="39"/>
      <c r="G49" s="39"/>
      <c r="H49" s="39"/>
      <c r="I49" s="40">
        <f>B22-I46</f>
        <v>-43595.02874400001</v>
      </c>
    </row>
    <row r="51" spans="1:5" ht="12.75">
      <c r="A51" s="41"/>
      <c r="E51" s="11"/>
    </row>
  </sheetData>
  <mergeCells count="9">
    <mergeCell ref="A13:I13"/>
    <mergeCell ref="A14:I14"/>
    <mergeCell ref="A15:I15"/>
    <mergeCell ref="A26:A27"/>
    <mergeCell ref="B26:B27"/>
    <mergeCell ref="C26:C27"/>
    <mergeCell ref="D26:D27"/>
    <mergeCell ref="E26:H26"/>
    <mergeCell ref="I26:I27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2">
      <selection activeCell="C30" sqref="C30:C32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73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-77886.43</v>
      </c>
    </row>
    <row r="19" spans="1:2" ht="25.5">
      <c r="A19" s="42" t="s">
        <v>24</v>
      </c>
      <c r="B19" s="9">
        <v>93258.02</v>
      </c>
    </row>
    <row r="20" spans="1:2" ht="12.75">
      <c r="A20" s="42" t="s">
        <v>27</v>
      </c>
      <c r="B20" s="9">
        <v>28499.9</v>
      </c>
    </row>
    <row r="21" spans="1:2" ht="12.75">
      <c r="A21" s="10" t="s">
        <v>35</v>
      </c>
      <c r="B21" s="9">
        <f>(B19+B20)*10%</f>
        <v>12175.792000000001</v>
      </c>
    </row>
    <row r="22" spans="1:2" ht="12.75">
      <c r="A22" s="43" t="s">
        <v>28</v>
      </c>
      <c r="B22" s="12">
        <f>B18+B19+B20-B21</f>
        <v>31695.69800000001</v>
      </c>
    </row>
    <row r="23" spans="1:2" ht="12.75">
      <c r="A23" s="42" t="s">
        <v>29</v>
      </c>
      <c r="B23" s="13">
        <v>5.89</v>
      </c>
    </row>
    <row r="24" spans="1:2" ht="12.75">
      <c r="A24" s="8" t="s">
        <v>6</v>
      </c>
      <c r="B24" s="13">
        <v>1.8</v>
      </c>
    </row>
    <row r="25" spans="1:2" ht="12.75">
      <c r="A25" s="14"/>
      <c r="B25" s="15"/>
    </row>
    <row r="26" spans="1:9" ht="27" customHeight="1">
      <c r="A26" s="109" t="s">
        <v>7</v>
      </c>
      <c r="B26" s="110" t="s">
        <v>8</v>
      </c>
      <c r="C26" s="109" t="s">
        <v>9</v>
      </c>
      <c r="D26" s="110" t="s">
        <v>10</v>
      </c>
      <c r="E26" s="111" t="s">
        <v>11</v>
      </c>
      <c r="F26" s="112"/>
      <c r="G26" s="112"/>
      <c r="H26" s="113"/>
      <c r="I26" s="109" t="s">
        <v>12</v>
      </c>
    </row>
    <row r="27" spans="1:9" ht="12.75">
      <c r="A27" s="110"/>
      <c r="B27" s="110"/>
      <c r="C27" s="110"/>
      <c r="D27" s="110"/>
      <c r="E27" s="17" t="s">
        <v>13</v>
      </c>
      <c r="F27" s="18" t="s">
        <v>14</v>
      </c>
      <c r="G27" s="18" t="s">
        <v>15</v>
      </c>
      <c r="H27" s="18" t="s">
        <v>16</v>
      </c>
      <c r="I27" s="110"/>
    </row>
    <row r="28" spans="1:9" ht="12.75">
      <c r="A28" s="19" t="s">
        <v>36</v>
      </c>
      <c r="B28" s="16"/>
      <c r="C28" s="16"/>
      <c r="D28" s="16"/>
      <c r="E28" s="17"/>
      <c r="F28" s="18"/>
      <c r="G28" s="18"/>
      <c r="H28" s="18"/>
      <c r="I28" s="16"/>
    </row>
    <row r="29" spans="1:9" ht="12.75">
      <c r="A29" s="20" t="s">
        <v>37</v>
      </c>
      <c r="B29" s="21"/>
      <c r="C29" s="22"/>
      <c r="D29" s="17"/>
      <c r="E29" s="23">
        <v>1000</v>
      </c>
      <c r="F29" s="23">
        <v>1000</v>
      </c>
      <c r="G29" s="23">
        <v>1000</v>
      </c>
      <c r="H29" s="23">
        <v>1000</v>
      </c>
      <c r="I29" s="9">
        <f aca="true" t="shared" si="0" ref="I29:I36">SUM(E29:H29)</f>
        <v>4000</v>
      </c>
    </row>
    <row r="30" spans="1:9" ht="25.5">
      <c r="A30" s="47" t="s">
        <v>38</v>
      </c>
      <c r="B30" s="21" t="s">
        <v>17</v>
      </c>
      <c r="C30" s="22">
        <v>0.52</v>
      </c>
      <c r="D30" s="24">
        <v>1319.44</v>
      </c>
      <c r="E30" s="23">
        <f>$C$30*$D$30*3</f>
        <v>2058.3264000000004</v>
      </c>
      <c r="F30" s="23">
        <f>$C$30*$D$30*3</f>
        <v>2058.3264000000004</v>
      </c>
      <c r="G30" s="23">
        <f>$C$30*$D$30*3</f>
        <v>2058.3264000000004</v>
      </c>
      <c r="H30" s="23">
        <f>$C$30*$D$30*3</f>
        <v>2058.3264000000004</v>
      </c>
      <c r="I30" s="9">
        <f t="shared" si="0"/>
        <v>8233.305600000002</v>
      </c>
    </row>
    <row r="31" spans="1:9" ht="25.5">
      <c r="A31" s="47" t="s">
        <v>39</v>
      </c>
      <c r="B31" s="21" t="s">
        <v>17</v>
      </c>
      <c r="C31" s="22">
        <v>0.87</v>
      </c>
      <c r="D31" s="24">
        <v>1319.44</v>
      </c>
      <c r="E31" s="23">
        <f>$C$31*$D$31*3</f>
        <v>3443.7384</v>
      </c>
      <c r="F31" s="23">
        <f>$C$31*$D$31*3</f>
        <v>3443.7384</v>
      </c>
      <c r="G31" s="23">
        <f>$C$31*$D$31*3</f>
        <v>3443.7384</v>
      </c>
      <c r="H31" s="23">
        <f>$C$31*$D$31*3</f>
        <v>3443.7384</v>
      </c>
      <c r="I31" s="9">
        <f t="shared" si="0"/>
        <v>13774.9536</v>
      </c>
    </row>
    <row r="32" spans="1:9" ht="25.5">
      <c r="A32" s="20" t="s">
        <v>40</v>
      </c>
      <c r="B32" s="21" t="s">
        <v>17</v>
      </c>
      <c r="C32" s="22">
        <v>0.31</v>
      </c>
      <c r="D32" s="24">
        <v>1319.44</v>
      </c>
      <c r="E32" s="23">
        <f>$C$32*$D$32*3</f>
        <v>1227.0792000000001</v>
      </c>
      <c r="F32" s="23">
        <f>$C$32*$D$32*3</f>
        <v>1227.0792000000001</v>
      </c>
      <c r="G32" s="23">
        <f>$C$32*$D$32*3</f>
        <v>1227.0792000000001</v>
      </c>
      <c r="H32" s="23">
        <f>$C$32*$D$32*3</f>
        <v>1227.0792000000001</v>
      </c>
      <c r="I32" s="9">
        <f t="shared" si="0"/>
        <v>4908.3168000000005</v>
      </c>
    </row>
    <row r="33" spans="1:9" ht="25.5">
      <c r="A33" s="26" t="s">
        <v>84</v>
      </c>
      <c r="B33" s="17"/>
      <c r="C33" s="17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t="shared" si="0"/>
        <v>4000</v>
      </c>
    </row>
    <row r="34" spans="1:10" ht="25.5">
      <c r="A34" s="48" t="s">
        <v>85</v>
      </c>
      <c r="B34" s="21" t="s">
        <v>17</v>
      </c>
      <c r="C34" s="25">
        <v>1.2</v>
      </c>
      <c r="D34" s="24">
        <v>1319.44</v>
      </c>
      <c r="E34" s="23">
        <f>$C$34*$D$34*3</f>
        <v>4749.984</v>
      </c>
      <c r="F34" s="23">
        <f>$C$34*$D$34*3</f>
        <v>4749.984</v>
      </c>
      <c r="G34" s="23">
        <f>$C$34*$D$34*3</f>
        <v>4749.984</v>
      </c>
      <c r="H34" s="23">
        <f>$C$34*$D$34*3</f>
        <v>4749.984</v>
      </c>
      <c r="I34" s="9">
        <f t="shared" si="0"/>
        <v>18999.936</v>
      </c>
      <c r="J34" s="27"/>
    </row>
    <row r="35" spans="1:9" ht="25.5">
      <c r="A35" s="48" t="s">
        <v>86</v>
      </c>
      <c r="B35" s="21" t="s">
        <v>17</v>
      </c>
      <c r="C35" s="25">
        <v>0.3</v>
      </c>
      <c r="D35" s="24">
        <v>1319.44</v>
      </c>
      <c r="E35" s="23">
        <f>$C$35*$D$35*3</f>
        <v>1187.496</v>
      </c>
      <c r="F35" s="23">
        <f>$C$35*$D$35*3</f>
        <v>1187.496</v>
      </c>
      <c r="G35" s="23">
        <f>$C$35*$D$35*3</f>
        <v>1187.496</v>
      </c>
      <c r="H35" s="23">
        <f>$C$35*$D$35*3</f>
        <v>1187.496</v>
      </c>
      <c r="I35" s="9">
        <f t="shared" si="0"/>
        <v>4749.984</v>
      </c>
    </row>
    <row r="36" spans="1:9" ht="25.5">
      <c r="A36" s="48" t="s">
        <v>87</v>
      </c>
      <c r="B36" s="17"/>
      <c r="C36" s="17"/>
      <c r="D36" s="17"/>
      <c r="E36" s="23">
        <v>1000</v>
      </c>
      <c r="F36" s="23">
        <v>1000</v>
      </c>
      <c r="G36" s="23">
        <v>1000</v>
      </c>
      <c r="H36" s="23">
        <v>1000</v>
      </c>
      <c r="I36" s="9">
        <f t="shared" si="0"/>
        <v>4000</v>
      </c>
    </row>
    <row r="37" spans="1:9" ht="12.75">
      <c r="A37" s="44" t="s">
        <v>83</v>
      </c>
      <c r="B37" s="28"/>
      <c r="C37" s="29"/>
      <c r="D37" s="30"/>
      <c r="E37" s="9"/>
      <c r="F37" s="9"/>
      <c r="G37" s="9"/>
      <c r="H37" s="9"/>
      <c r="I37" s="9"/>
    </row>
    <row r="38" spans="1:9" ht="25.5">
      <c r="A38" s="46" t="s">
        <v>82</v>
      </c>
      <c r="B38" s="21" t="s">
        <v>17</v>
      </c>
      <c r="C38" s="49">
        <v>0.7</v>
      </c>
      <c r="D38" s="24">
        <v>1319.44</v>
      </c>
      <c r="E38" s="23">
        <f>$C$38*$D$38*3</f>
        <v>2770.8239999999996</v>
      </c>
      <c r="F38" s="23">
        <f>$C$38*$D$38*3</f>
        <v>2770.8239999999996</v>
      </c>
      <c r="G38" s="23">
        <f>$C$38*$D$38*3</f>
        <v>2770.8239999999996</v>
      </c>
      <c r="H38" s="23">
        <f>$C$38*$D$38*3</f>
        <v>2770.8239999999996</v>
      </c>
      <c r="I38" s="9">
        <f>SUM(E38:H38)</f>
        <v>11083.295999999998</v>
      </c>
    </row>
    <row r="39" spans="1:9" ht="12.75">
      <c r="A39" s="44" t="s">
        <v>77</v>
      </c>
      <c r="B39" s="28"/>
      <c r="C39" s="29"/>
      <c r="D39" s="30"/>
      <c r="E39" s="9"/>
      <c r="F39" s="9"/>
      <c r="G39" s="9"/>
      <c r="H39" s="9"/>
      <c r="I39" s="9"/>
    </row>
    <row r="40" spans="1:9" ht="25.5">
      <c r="A40" s="20" t="s">
        <v>78</v>
      </c>
      <c r="B40" s="21" t="s">
        <v>17</v>
      </c>
      <c r="C40" s="29">
        <v>1.62</v>
      </c>
      <c r="D40" s="24">
        <v>1319.44</v>
      </c>
      <c r="E40" s="23">
        <f>$C$40*$D$40*3</f>
        <v>6412.478400000002</v>
      </c>
      <c r="F40" s="23">
        <f>$C$40*$D$40*3</f>
        <v>6412.478400000002</v>
      </c>
      <c r="G40" s="23">
        <f>$C$40*$D$40*3</f>
        <v>6412.478400000002</v>
      </c>
      <c r="H40" s="23">
        <f>$C$40*$D$40*3</f>
        <v>6412.478400000002</v>
      </c>
      <c r="I40" s="9">
        <f>SUM(E40:H40)</f>
        <v>25649.913600000007</v>
      </c>
    </row>
    <row r="41" spans="1:9" ht="12.75">
      <c r="A41" s="45" t="s">
        <v>79</v>
      </c>
      <c r="B41" s="28"/>
      <c r="C41" s="29"/>
      <c r="D41" s="30"/>
      <c r="E41" s="9"/>
      <c r="F41" s="9"/>
      <c r="G41" s="9"/>
      <c r="H41" s="9"/>
      <c r="I41" s="9"/>
    </row>
    <row r="42" spans="1:9" ht="25.5">
      <c r="A42" s="48" t="s">
        <v>80</v>
      </c>
      <c r="B42" s="28"/>
      <c r="C42" s="29"/>
      <c r="D42" s="30"/>
      <c r="E42" s="9">
        <v>1677</v>
      </c>
      <c r="F42" s="9">
        <v>1677</v>
      </c>
      <c r="G42" s="9">
        <v>1677</v>
      </c>
      <c r="H42" s="9">
        <v>1678</v>
      </c>
      <c r="I42" s="9">
        <f>SUM(E42:H42)</f>
        <v>6709</v>
      </c>
    </row>
    <row r="43" spans="1:9" ht="12.75">
      <c r="A43" s="46" t="s">
        <v>81</v>
      </c>
      <c r="B43" s="21" t="s">
        <v>56</v>
      </c>
      <c r="C43" s="49">
        <f>3+0.936768</f>
        <v>3.936768</v>
      </c>
      <c r="D43" s="31">
        <v>26</v>
      </c>
      <c r="E43" s="23">
        <f>$C$43*$D$43*3</f>
        <v>307.067904</v>
      </c>
      <c r="F43" s="23">
        <f>$C$43*$D$43*3</f>
        <v>307.067904</v>
      </c>
      <c r="G43" s="23">
        <f>$C$43*$D$43*3</f>
        <v>307.067904</v>
      </c>
      <c r="H43" s="23">
        <f>$C$43*$D$43*3</f>
        <v>307.067904</v>
      </c>
      <c r="I43" s="9">
        <f>SUM(E43:H43)</f>
        <v>1228.271616</v>
      </c>
    </row>
    <row r="44" spans="1:9" ht="12.75">
      <c r="A44" s="32" t="s">
        <v>20</v>
      </c>
      <c r="B44" s="33"/>
      <c r="C44" s="34"/>
      <c r="D44" s="33"/>
      <c r="E44" s="12">
        <f>SUM(E29:E43)</f>
        <v>26833.994304000003</v>
      </c>
      <c r="F44" s="12">
        <f>SUM(F29:F43)</f>
        <v>26833.994304000003</v>
      </c>
      <c r="G44" s="12">
        <f>SUM(G29:G43)</f>
        <v>26833.994304000003</v>
      </c>
      <c r="H44" s="12">
        <f>SUM(H29:H43)</f>
        <v>26834.994304000003</v>
      </c>
      <c r="I44" s="12">
        <f>SUM(I29:I43)</f>
        <v>107336.97721600001</v>
      </c>
    </row>
    <row r="45" spans="1:9" ht="12.75">
      <c r="A45" s="10" t="s">
        <v>35</v>
      </c>
      <c r="B45" s="6"/>
      <c r="C45" s="35"/>
      <c r="D45" s="6"/>
      <c r="E45" s="36">
        <v>3044</v>
      </c>
      <c r="F45" s="36">
        <v>3044</v>
      </c>
      <c r="G45" s="36">
        <v>3044</v>
      </c>
      <c r="H45" s="36">
        <v>3044</v>
      </c>
      <c r="I45" s="36">
        <f>SUM(E45:H45)</f>
        <v>12176</v>
      </c>
    </row>
    <row r="46" spans="1:9" ht="12.75">
      <c r="A46" s="37" t="s">
        <v>21</v>
      </c>
      <c r="B46" s="6"/>
      <c r="C46" s="35"/>
      <c r="D46" s="6"/>
      <c r="E46" s="38">
        <f>SUM(E44:E45)</f>
        <v>29877.994304000003</v>
      </c>
      <c r="F46" s="38">
        <f>SUM(F44:F45)</f>
        <v>29877.994304000003</v>
      </c>
      <c r="G46" s="38">
        <f>SUM(G44:G45)</f>
        <v>29877.994304000003</v>
      </c>
      <c r="H46" s="38">
        <f>SUM(H44:H45)</f>
        <v>29878.994304000003</v>
      </c>
      <c r="I46" s="38">
        <f>SUM(I44:I45)</f>
        <v>119512.97721600001</v>
      </c>
    </row>
    <row r="47" spans="1:9" ht="12.75">
      <c r="A47" s="39" t="s">
        <v>22</v>
      </c>
      <c r="B47" s="39"/>
      <c r="C47" s="39"/>
      <c r="D47" s="39"/>
      <c r="E47" s="39"/>
      <c r="F47" s="39"/>
      <c r="G47" s="39"/>
      <c r="H47" s="39"/>
      <c r="I47" s="40">
        <f>B22-I44</f>
        <v>-75641.279216</v>
      </c>
    </row>
    <row r="49" spans="1:5" ht="12.75">
      <c r="A49" s="41"/>
      <c r="E49" s="11"/>
    </row>
  </sheetData>
  <mergeCells count="9">
    <mergeCell ref="A13:I13"/>
    <mergeCell ref="A14:I14"/>
    <mergeCell ref="A15:I15"/>
    <mergeCell ref="A26:A27"/>
    <mergeCell ref="B26:B27"/>
    <mergeCell ref="C26:C27"/>
    <mergeCell ref="D26:D27"/>
    <mergeCell ref="E26:H26"/>
    <mergeCell ref="I26:I2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8">
      <selection activeCell="L39" sqref="L39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88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-45386.85</v>
      </c>
    </row>
    <row r="19" spans="1:2" ht="25.5">
      <c r="A19" s="42" t="s">
        <v>24</v>
      </c>
      <c r="B19" s="9">
        <v>131712.18</v>
      </c>
    </row>
    <row r="20" spans="1:2" ht="12.75">
      <c r="A20" s="42" t="s">
        <v>27</v>
      </c>
      <c r="B20" s="9">
        <v>40251.6</v>
      </c>
    </row>
    <row r="21" spans="1:2" ht="12.75">
      <c r="A21" s="10" t="s">
        <v>35</v>
      </c>
      <c r="B21" s="9">
        <f>(B19+B20)*10%</f>
        <v>17196.378</v>
      </c>
    </row>
    <row r="22" spans="1:2" ht="12.75">
      <c r="A22" s="43" t="s">
        <v>28</v>
      </c>
      <c r="B22" s="12">
        <f>B18+B19+B20-B21</f>
        <v>109380.552</v>
      </c>
    </row>
    <row r="23" spans="1:2" ht="12.75">
      <c r="A23" s="42" t="s">
        <v>29</v>
      </c>
      <c r="B23" s="13">
        <v>5.89</v>
      </c>
    </row>
    <row r="24" spans="1:2" ht="12.75">
      <c r="A24" s="8" t="s">
        <v>6</v>
      </c>
      <c r="B24" s="13">
        <v>1.8</v>
      </c>
    </row>
    <row r="25" spans="1:2" ht="12.75">
      <c r="A25" s="14"/>
      <c r="B25" s="15"/>
    </row>
    <row r="26" spans="1:9" ht="27" customHeight="1">
      <c r="A26" s="109" t="s">
        <v>7</v>
      </c>
      <c r="B26" s="110" t="s">
        <v>8</v>
      </c>
      <c r="C26" s="109" t="s">
        <v>9</v>
      </c>
      <c r="D26" s="110" t="s">
        <v>10</v>
      </c>
      <c r="E26" s="111" t="s">
        <v>11</v>
      </c>
      <c r="F26" s="112"/>
      <c r="G26" s="112"/>
      <c r="H26" s="113"/>
      <c r="I26" s="109" t="s">
        <v>12</v>
      </c>
    </row>
    <row r="27" spans="1:9" ht="12.75">
      <c r="A27" s="110"/>
      <c r="B27" s="110"/>
      <c r="C27" s="110"/>
      <c r="D27" s="110"/>
      <c r="E27" s="17" t="s">
        <v>13</v>
      </c>
      <c r="F27" s="18" t="s">
        <v>14</v>
      </c>
      <c r="G27" s="18" t="s">
        <v>15</v>
      </c>
      <c r="H27" s="18" t="s">
        <v>16</v>
      </c>
      <c r="I27" s="110"/>
    </row>
    <row r="28" spans="1:9" ht="12.75">
      <c r="A28" s="19" t="s">
        <v>36</v>
      </c>
      <c r="B28" s="16"/>
      <c r="C28" s="16"/>
      <c r="D28" s="16"/>
      <c r="E28" s="17"/>
      <c r="F28" s="18"/>
      <c r="G28" s="18"/>
      <c r="H28" s="18"/>
      <c r="I28" s="16"/>
    </row>
    <row r="29" spans="1:9" ht="12.75">
      <c r="A29" s="20" t="s">
        <v>37</v>
      </c>
      <c r="B29" s="21"/>
      <c r="C29" s="22"/>
      <c r="D29" s="17"/>
      <c r="E29" s="23">
        <v>1000</v>
      </c>
      <c r="F29" s="23">
        <v>1000</v>
      </c>
      <c r="G29" s="23">
        <v>1000</v>
      </c>
      <c r="H29" s="23">
        <v>1000</v>
      </c>
      <c r="I29" s="9">
        <f aca="true" t="shared" si="0" ref="I29:I36">SUM(E29:H29)</f>
        <v>4000</v>
      </c>
    </row>
    <row r="30" spans="1:9" ht="25.5">
      <c r="A30" s="47" t="s">
        <v>38</v>
      </c>
      <c r="B30" s="21" t="s">
        <v>17</v>
      </c>
      <c r="C30" s="22">
        <v>0.52</v>
      </c>
      <c r="D30" s="24">
        <v>1863.5</v>
      </c>
      <c r="E30" s="23">
        <f>$C$30*$D$30*3</f>
        <v>2907.06</v>
      </c>
      <c r="F30" s="23">
        <f>$C$30*$D$30*3</f>
        <v>2907.06</v>
      </c>
      <c r="G30" s="23">
        <f>$C$30*$D$30*3</f>
        <v>2907.06</v>
      </c>
      <c r="H30" s="23">
        <f>$C$30*$D$30*3</f>
        <v>2907.06</v>
      </c>
      <c r="I30" s="9">
        <f t="shared" si="0"/>
        <v>11628.24</v>
      </c>
    </row>
    <row r="31" spans="1:9" ht="25.5">
      <c r="A31" s="47" t="s">
        <v>39</v>
      </c>
      <c r="B31" s="21" t="s">
        <v>17</v>
      </c>
      <c r="C31" s="22">
        <v>0.87</v>
      </c>
      <c r="D31" s="24">
        <v>1863.5</v>
      </c>
      <c r="E31" s="23">
        <f>$C$31*$D$31*3</f>
        <v>4863.735</v>
      </c>
      <c r="F31" s="23">
        <f>$C$31*$D$31*3</f>
        <v>4863.735</v>
      </c>
      <c r="G31" s="23">
        <f>$C$31*$D$31*3</f>
        <v>4863.735</v>
      </c>
      <c r="H31" s="23">
        <f>$C$31*$D$31*3</f>
        <v>4863.735</v>
      </c>
      <c r="I31" s="9">
        <f t="shared" si="0"/>
        <v>19454.94</v>
      </c>
    </row>
    <row r="32" spans="1:9" ht="25.5">
      <c r="A32" s="20" t="s">
        <v>40</v>
      </c>
      <c r="B32" s="21" t="s">
        <v>17</v>
      </c>
      <c r="C32" s="22">
        <v>0.31</v>
      </c>
      <c r="D32" s="24">
        <v>1863.5</v>
      </c>
      <c r="E32" s="23">
        <f>$C$32*$D$32*3</f>
        <v>1733.0549999999998</v>
      </c>
      <c r="F32" s="23">
        <f>$C$32*$D$32*3</f>
        <v>1733.0549999999998</v>
      </c>
      <c r="G32" s="23">
        <f>$C$32*$D$32*3</f>
        <v>1733.0549999999998</v>
      </c>
      <c r="H32" s="23">
        <f>$C$32*$D$32*3</f>
        <v>1733.0549999999998</v>
      </c>
      <c r="I32" s="9">
        <f t="shared" si="0"/>
        <v>6932.219999999999</v>
      </c>
    </row>
    <row r="33" spans="1:9" ht="25.5">
      <c r="A33" s="26" t="s">
        <v>84</v>
      </c>
      <c r="B33" s="17"/>
      <c r="C33" s="17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t="shared" si="0"/>
        <v>4000</v>
      </c>
    </row>
    <row r="34" spans="1:10" ht="25.5">
      <c r="A34" s="48" t="s">
        <v>85</v>
      </c>
      <c r="B34" s="21" t="s">
        <v>17</v>
      </c>
      <c r="C34" s="25">
        <v>1.2</v>
      </c>
      <c r="D34" s="24">
        <v>1863.5</v>
      </c>
      <c r="E34" s="23">
        <f>$C$34*$D$34*3</f>
        <v>6708.599999999999</v>
      </c>
      <c r="F34" s="23">
        <f>$C$34*$D$34*3</f>
        <v>6708.599999999999</v>
      </c>
      <c r="G34" s="23">
        <f>$C$34*$D$34*3</f>
        <v>6708.599999999999</v>
      </c>
      <c r="H34" s="23">
        <f>$C$34*$D$34*3</f>
        <v>6708.599999999999</v>
      </c>
      <c r="I34" s="9">
        <f t="shared" si="0"/>
        <v>26834.399999999998</v>
      </c>
      <c r="J34" s="27"/>
    </row>
    <row r="35" spans="1:9" ht="25.5">
      <c r="A35" s="48" t="s">
        <v>86</v>
      </c>
      <c r="B35" s="21" t="s">
        <v>17</v>
      </c>
      <c r="C35" s="25">
        <v>0.3</v>
      </c>
      <c r="D35" s="24">
        <v>1863.5</v>
      </c>
      <c r="E35" s="23">
        <f>$C$35*$D$35*3</f>
        <v>1677.1499999999999</v>
      </c>
      <c r="F35" s="23">
        <f>$C$35*$D$35*3</f>
        <v>1677.1499999999999</v>
      </c>
      <c r="G35" s="23">
        <f>$C$35*$D$35*3</f>
        <v>1677.1499999999999</v>
      </c>
      <c r="H35" s="23">
        <f>$C$35*$D$35*3</f>
        <v>1677.1499999999999</v>
      </c>
      <c r="I35" s="9">
        <f t="shared" si="0"/>
        <v>6708.599999999999</v>
      </c>
    </row>
    <row r="36" spans="1:9" ht="25.5">
      <c r="A36" s="48" t="s">
        <v>87</v>
      </c>
      <c r="B36" s="17"/>
      <c r="C36" s="17"/>
      <c r="D36" s="17"/>
      <c r="E36" s="23">
        <v>1000</v>
      </c>
      <c r="F36" s="23">
        <v>1000</v>
      </c>
      <c r="G36" s="23">
        <v>1000</v>
      </c>
      <c r="H36" s="23">
        <v>1000</v>
      </c>
      <c r="I36" s="9">
        <f t="shared" si="0"/>
        <v>4000</v>
      </c>
    </row>
    <row r="37" spans="1:9" ht="12.75">
      <c r="A37" s="44" t="s">
        <v>83</v>
      </c>
      <c r="B37" s="28"/>
      <c r="C37" s="29"/>
      <c r="D37" s="30"/>
      <c r="E37" s="9"/>
      <c r="F37" s="9"/>
      <c r="G37" s="9"/>
      <c r="H37" s="9"/>
      <c r="I37" s="9"/>
    </row>
    <row r="38" spans="1:9" ht="25.5">
      <c r="A38" s="46" t="s">
        <v>82</v>
      </c>
      <c r="B38" s="21" t="s">
        <v>17</v>
      </c>
      <c r="C38" s="49">
        <v>0.7</v>
      </c>
      <c r="D38" s="24">
        <v>1863.5</v>
      </c>
      <c r="E38" s="23">
        <f>$C$38*$D$38*3</f>
        <v>3913.3499999999995</v>
      </c>
      <c r="F38" s="23">
        <f>$C$38*$D$38*3</f>
        <v>3913.3499999999995</v>
      </c>
      <c r="G38" s="23">
        <f>$C$38*$D$38*3</f>
        <v>3913.3499999999995</v>
      </c>
      <c r="H38" s="23">
        <f>$C$38*$D$38*3</f>
        <v>3913.3499999999995</v>
      </c>
      <c r="I38" s="9">
        <f>SUM(E38:H38)</f>
        <v>15653.399999999998</v>
      </c>
    </row>
    <row r="39" spans="1:9" ht="12.75">
      <c r="A39" s="44" t="s">
        <v>77</v>
      </c>
      <c r="B39" s="28"/>
      <c r="C39" s="29"/>
      <c r="D39" s="30"/>
      <c r="E39" s="9"/>
      <c r="F39" s="9"/>
      <c r="G39" s="9"/>
      <c r="H39" s="9"/>
      <c r="I39" s="9"/>
    </row>
    <row r="40" spans="1:9" ht="25.5">
      <c r="A40" s="20" t="s">
        <v>78</v>
      </c>
      <c r="B40" s="21" t="s">
        <v>17</v>
      </c>
      <c r="C40" s="29">
        <v>1.62</v>
      </c>
      <c r="D40" s="24">
        <v>1863.5</v>
      </c>
      <c r="E40" s="23">
        <f>$C$40*$D$40*3</f>
        <v>9056.61</v>
      </c>
      <c r="F40" s="23">
        <f>$C$40*$D$40*3</f>
        <v>9056.61</v>
      </c>
      <c r="G40" s="23">
        <f>$C$40*$D$40*3</f>
        <v>9056.61</v>
      </c>
      <c r="H40" s="23">
        <f>$C$40*$D$40*3</f>
        <v>9056.61</v>
      </c>
      <c r="I40" s="9">
        <f>SUM(E40:H40)</f>
        <v>36226.44</v>
      </c>
    </row>
    <row r="41" spans="1:9" ht="12.75">
      <c r="A41" s="45" t="s">
        <v>79</v>
      </c>
      <c r="B41" s="28"/>
      <c r="C41" s="29"/>
      <c r="D41" s="30"/>
      <c r="E41" s="9"/>
      <c r="F41" s="9"/>
      <c r="G41" s="9"/>
      <c r="H41" s="9"/>
      <c r="I41" s="9"/>
    </row>
    <row r="42" spans="1:9" ht="25.5">
      <c r="A42" s="48" t="s">
        <v>80</v>
      </c>
      <c r="B42" s="28"/>
      <c r="C42" s="29"/>
      <c r="D42" s="30"/>
      <c r="E42" s="9">
        <v>2402</v>
      </c>
      <c r="F42" s="9">
        <v>2402</v>
      </c>
      <c r="G42" s="9">
        <v>2402</v>
      </c>
      <c r="H42" s="9">
        <v>2402</v>
      </c>
      <c r="I42" s="9">
        <f>SUM(E42:H42)</f>
        <v>9608</v>
      </c>
    </row>
    <row r="43" spans="1:9" ht="12.75">
      <c r="A43" s="46" t="s">
        <v>81</v>
      </c>
      <c r="B43" s="21" t="s">
        <v>56</v>
      </c>
      <c r="C43" s="49">
        <f>3+0.936768</f>
        <v>3.936768</v>
      </c>
      <c r="D43" s="31">
        <v>37</v>
      </c>
      <c r="E43" s="23">
        <f>$C$43*$D$43*3</f>
        <v>436.981248</v>
      </c>
      <c r="F43" s="23">
        <f>$C$43*$D$43*3</f>
        <v>436.981248</v>
      </c>
      <c r="G43" s="23">
        <f>$C$43*$D$43*3</f>
        <v>436.981248</v>
      </c>
      <c r="H43" s="23">
        <f>$C$43*$D$43*3</f>
        <v>436.981248</v>
      </c>
      <c r="I43" s="9">
        <f>SUM(E43:H43)</f>
        <v>1747.924992</v>
      </c>
    </row>
    <row r="44" spans="1:9" ht="12.75">
      <c r="A44" s="32" t="s">
        <v>20</v>
      </c>
      <c r="B44" s="33"/>
      <c r="C44" s="34"/>
      <c r="D44" s="33"/>
      <c r="E44" s="12">
        <f>SUM(E29:E43)</f>
        <v>36698.541247999994</v>
      </c>
      <c r="F44" s="12">
        <f>SUM(F29:F43)</f>
        <v>36698.541247999994</v>
      </c>
      <c r="G44" s="12">
        <f>SUM(G29:G43)</f>
        <v>36698.541247999994</v>
      </c>
      <c r="H44" s="12">
        <f>SUM(H29:H43)</f>
        <v>36698.541247999994</v>
      </c>
      <c r="I44" s="12">
        <f>SUM(I29:I43)</f>
        <v>146794.16499199998</v>
      </c>
    </row>
    <row r="45" spans="1:9" ht="12.75">
      <c r="A45" s="10" t="s">
        <v>35</v>
      </c>
      <c r="B45" s="6"/>
      <c r="C45" s="35"/>
      <c r="D45" s="6"/>
      <c r="E45" s="36">
        <v>4299</v>
      </c>
      <c r="F45" s="36">
        <v>4299</v>
      </c>
      <c r="G45" s="36">
        <v>4299</v>
      </c>
      <c r="H45" s="36">
        <v>4299</v>
      </c>
      <c r="I45" s="36">
        <f>SUM(E45:H45)</f>
        <v>17196</v>
      </c>
    </row>
    <row r="46" spans="1:9" ht="12.75">
      <c r="A46" s="37" t="s">
        <v>21</v>
      </c>
      <c r="B46" s="6"/>
      <c r="C46" s="35"/>
      <c r="D46" s="6"/>
      <c r="E46" s="38">
        <f>SUM(E44:E45)</f>
        <v>40997.541247999994</v>
      </c>
      <c r="F46" s="38">
        <f>SUM(F44:F45)</f>
        <v>40997.541247999994</v>
      </c>
      <c r="G46" s="38">
        <f>SUM(G44:G45)</f>
        <v>40997.541247999994</v>
      </c>
      <c r="H46" s="38">
        <f>SUM(H44:H45)</f>
        <v>40997.541247999994</v>
      </c>
      <c r="I46" s="38">
        <f>SUM(I44:I45)</f>
        <v>163990.16499199998</v>
      </c>
    </row>
    <row r="47" spans="1:9" ht="12.75">
      <c r="A47" s="39" t="s">
        <v>22</v>
      </c>
      <c r="B47" s="39"/>
      <c r="C47" s="39"/>
      <c r="D47" s="39"/>
      <c r="E47" s="39"/>
      <c r="F47" s="39"/>
      <c r="G47" s="39"/>
      <c r="H47" s="39"/>
      <c r="I47" s="40">
        <f>B22-I44</f>
        <v>-37413.61299199998</v>
      </c>
    </row>
    <row r="49" spans="1:5" ht="12.75">
      <c r="A49" s="41"/>
      <c r="E49" s="11"/>
    </row>
  </sheetData>
  <mergeCells count="9">
    <mergeCell ref="A13:I13"/>
    <mergeCell ref="A14:I14"/>
    <mergeCell ref="A15:I15"/>
    <mergeCell ref="A26:A27"/>
    <mergeCell ref="B26:B27"/>
    <mergeCell ref="C26:C27"/>
    <mergeCell ref="D26:D27"/>
    <mergeCell ref="E26:H26"/>
    <mergeCell ref="I26:I2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2">
      <selection activeCell="I49" sqref="I49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89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-10357.62</v>
      </c>
    </row>
    <row r="19" spans="1:2" ht="25.5">
      <c r="A19" s="42" t="s">
        <v>24</v>
      </c>
      <c r="B19" s="9">
        <v>51151.12</v>
      </c>
    </row>
    <row r="20" spans="1:2" ht="12.75">
      <c r="A20" s="42" t="s">
        <v>27</v>
      </c>
      <c r="B20" s="9">
        <v>15631.92</v>
      </c>
    </row>
    <row r="21" spans="1:2" ht="12.75">
      <c r="A21" s="10" t="s">
        <v>35</v>
      </c>
      <c r="B21" s="9">
        <f>(B19+B20)*10%</f>
        <v>6678.304000000001</v>
      </c>
    </row>
    <row r="22" spans="1:2" ht="12.75">
      <c r="A22" s="43" t="s">
        <v>28</v>
      </c>
      <c r="B22" s="12">
        <f>B18+B19+B20-B21</f>
        <v>49747.115999999995</v>
      </c>
    </row>
    <row r="23" spans="1:2" ht="12.75">
      <c r="A23" s="42" t="s">
        <v>29</v>
      </c>
      <c r="B23" s="13">
        <v>5.89</v>
      </c>
    </row>
    <row r="24" spans="1:2" ht="12.75">
      <c r="A24" s="8" t="s">
        <v>6</v>
      </c>
      <c r="B24" s="13">
        <v>1.8</v>
      </c>
    </row>
    <row r="25" spans="1:2" ht="12.75">
      <c r="A25" s="14"/>
      <c r="B25" s="15"/>
    </row>
    <row r="26" spans="1:9" ht="27" customHeight="1">
      <c r="A26" s="109" t="s">
        <v>7</v>
      </c>
      <c r="B26" s="110" t="s">
        <v>8</v>
      </c>
      <c r="C26" s="109" t="s">
        <v>9</v>
      </c>
      <c r="D26" s="110" t="s">
        <v>10</v>
      </c>
      <c r="E26" s="111" t="s">
        <v>11</v>
      </c>
      <c r="F26" s="112"/>
      <c r="G26" s="112"/>
      <c r="H26" s="113"/>
      <c r="I26" s="109" t="s">
        <v>12</v>
      </c>
    </row>
    <row r="27" spans="1:9" ht="12.75">
      <c r="A27" s="110"/>
      <c r="B27" s="110"/>
      <c r="C27" s="110"/>
      <c r="D27" s="110"/>
      <c r="E27" s="17" t="s">
        <v>13</v>
      </c>
      <c r="F27" s="18" t="s">
        <v>14</v>
      </c>
      <c r="G27" s="18" t="s">
        <v>15</v>
      </c>
      <c r="H27" s="18" t="s">
        <v>16</v>
      </c>
      <c r="I27" s="110"/>
    </row>
    <row r="28" spans="1:9" ht="12.75">
      <c r="A28" s="19" t="s">
        <v>36</v>
      </c>
      <c r="B28" s="16"/>
      <c r="C28" s="16"/>
      <c r="D28" s="16"/>
      <c r="E28" s="17"/>
      <c r="F28" s="18"/>
      <c r="G28" s="18"/>
      <c r="H28" s="18"/>
      <c r="I28" s="16"/>
    </row>
    <row r="29" spans="1:9" ht="12.75">
      <c r="A29" s="20" t="s">
        <v>37</v>
      </c>
      <c r="B29" s="21"/>
      <c r="C29" s="22"/>
      <c r="D29" s="17"/>
      <c r="E29" s="23">
        <v>500</v>
      </c>
      <c r="F29" s="23">
        <v>500</v>
      </c>
      <c r="G29" s="23">
        <v>500</v>
      </c>
      <c r="H29" s="23">
        <v>500</v>
      </c>
      <c r="I29" s="9">
        <f aca="true" t="shared" si="0" ref="I29:I36">SUM(E29:H29)</f>
        <v>2000</v>
      </c>
    </row>
    <row r="30" spans="1:9" ht="25.5">
      <c r="A30" s="47" t="s">
        <v>38</v>
      </c>
      <c r="B30" s="21" t="s">
        <v>17</v>
      </c>
      <c r="C30" s="22">
        <v>0.52</v>
      </c>
      <c r="D30" s="24">
        <v>723.7</v>
      </c>
      <c r="E30" s="23">
        <f>$C$30*$D$30*3</f>
        <v>1128.972</v>
      </c>
      <c r="F30" s="23">
        <f>$C$30*$D$30*3</f>
        <v>1128.972</v>
      </c>
      <c r="G30" s="23">
        <f>$C$30*$D$30*3</f>
        <v>1128.972</v>
      </c>
      <c r="H30" s="23">
        <f>$C$30*$D$30*3</f>
        <v>1128.972</v>
      </c>
      <c r="I30" s="9">
        <f t="shared" si="0"/>
        <v>4515.888</v>
      </c>
    </row>
    <row r="31" spans="1:9" ht="25.5">
      <c r="A31" s="47" t="s">
        <v>39</v>
      </c>
      <c r="B31" s="21" t="s">
        <v>17</v>
      </c>
      <c r="C31" s="22">
        <v>0.87</v>
      </c>
      <c r="D31" s="24">
        <v>723.7</v>
      </c>
      <c r="E31" s="23">
        <f>$C$31*$D$31*3</f>
        <v>1888.857</v>
      </c>
      <c r="F31" s="23">
        <f>$C$31*$D$31*3</f>
        <v>1888.857</v>
      </c>
      <c r="G31" s="23">
        <f>$C$31*$D$31*3</f>
        <v>1888.857</v>
      </c>
      <c r="H31" s="23">
        <f>$C$31*$D$31*3</f>
        <v>1888.857</v>
      </c>
      <c r="I31" s="9">
        <f t="shared" si="0"/>
        <v>7555.428</v>
      </c>
    </row>
    <row r="32" spans="1:9" ht="25.5">
      <c r="A32" s="20" t="s">
        <v>40</v>
      </c>
      <c r="B32" s="21" t="s">
        <v>17</v>
      </c>
      <c r="C32" s="22">
        <v>0.31</v>
      </c>
      <c r="D32" s="24">
        <v>723.7</v>
      </c>
      <c r="E32" s="23">
        <f>$C$32*$D$32*3</f>
        <v>673.041</v>
      </c>
      <c r="F32" s="23">
        <f>$C$32*$D$32*3</f>
        <v>673.041</v>
      </c>
      <c r="G32" s="23">
        <f>$C$32*$D$32*3</f>
        <v>673.041</v>
      </c>
      <c r="H32" s="23">
        <f>$C$32*$D$32*3</f>
        <v>673.041</v>
      </c>
      <c r="I32" s="9">
        <f t="shared" si="0"/>
        <v>2692.164</v>
      </c>
    </row>
    <row r="33" spans="1:9" ht="25.5">
      <c r="A33" s="26" t="s">
        <v>84</v>
      </c>
      <c r="B33" s="17"/>
      <c r="C33" s="17"/>
      <c r="D33" s="17"/>
      <c r="E33" s="23">
        <v>500</v>
      </c>
      <c r="F33" s="23">
        <v>500</v>
      </c>
      <c r="G33" s="23">
        <v>500</v>
      </c>
      <c r="H33" s="23">
        <v>500</v>
      </c>
      <c r="I33" s="9">
        <f t="shared" si="0"/>
        <v>2000</v>
      </c>
    </row>
    <row r="34" spans="1:10" ht="25.5">
      <c r="A34" s="48" t="s">
        <v>85</v>
      </c>
      <c r="B34" s="21" t="s">
        <v>17</v>
      </c>
      <c r="C34" s="25">
        <v>1.2</v>
      </c>
      <c r="D34" s="24">
        <v>723.7</v>
      </c>
      <c r="E34" s="23">
        <f>$C$34*$D$34*3</f>
        <v>2605.32</v>
      </c>
      <c r="F34" s="23">
        <f>$C$34*$D$34*3</f>
        <v>2605.32</v>
      </c>
      <c r="G34" s="23">
        <f>$C$34*$D$34*3</f>
        <v>2605.32</v>
      </c>
      <c r="H34" s="23">
        <f>$C$34*$D$34*3</f>
        <v>2605.32</v>
      </c>
      <c r="I34" s="9">
        <f t="shared" si="0"/>
        <v>10421.28</v>
      </c>
      <c r="J34" s="27"/>
    </row>
    <row r="35" spans="1:9" ht="25.5">
      <c r="A35" s="48" t="s">
        <v>86</v>
      </c>
      <c r="B35" s="21" t="s">
        <v>17</v>
      </c>
      <c r="C35" s="25">
        <v>0.3</v>
      </c>
      <c r="D35" s="24">
        <v>723.7</v>
      </c>
      <c r="E35" s="23">
        <f>$C$35*$D$35*3</f>
        <v>651.33</v>
      </c>
      <c r="F35" s="23">
        <f>$C$35*$D$35*3</f>
        <v>651.33</v>
      </c>
      <c r="G35" s="23">
        <f>$C$35*$D$35*3</f>
        <v>651.33</v>
      </c>
      <c r="H35" s="23">
        <f>$C$35*$D$35*3</f>
        <v>651.33</v>
      </c>
      <c r="I35" s="9">
        <f t="shared" si="0"/>
        <v>2605.32</v>
      </c>
    </row>
    <row r="36" spans="1:9" ht="25.5">
      <c r="A36" s="48" t="s">
        <v>87</v>
      </c>
      <c r="B36" s="17"/>
      <c r="C36" s="17"/>
      <c r="D36" s="17"/>
      <c r="E36" s="23">
        <v>500</v>
      </c>
      <c r="F36" s="23">
        <v>500</v>
      </c>
      <c r="G36" s="23">
        <v>500</v>
      </c>
      <c r="H36" s="23">
        <v>500</v>
      </c>
      <c r="I36" s="9">
        <f t="shared" si="0"/>
        <v>2000</v>
      </c>
    </row>
    <row r="37" spans="1:9" ht="12.75">
      <c r="A37" s="44" t="s">
        <v>83</v>
      </c>
      <c r="B37" s="28"/>
      <c r="C37" s="29"/>
      <c r="D37" s="30"/>
      <c r="E37" s="9"/>
      <c r="F37" s="9"/>
      <c r="G37" s="9"/>
      <c r="H37" s="9"/>
      <c r="I37" s="9"/>
    </row>
    <row r="38" spans="1:9" ht="25.5">
      <c r="A38" s="46" t="s">
        <v>82</v>
      </c>
      <c r="B38" s="21" t="s">
        <v>17</v>
      </c>
      <c r="C38" s="49">
        <v>0.7</v>
      </c>
      <c r="D38" s="24">
        <v>723.7</v>
      </c>
      <c r="E38" s="23">
        <f>$C$38*$D$38*3</f>
        <v>1519.77</v>
      </c>
      <c r="F38" s="23">
        <f>$C$38*$D$38*3</f>
        <v>1519.77</v>
      </c>
      <c r="G38" s="23">
        <f>$C$38*$D$38*3</f>
        <v>1519.77</v>
      </c>
      <c r="H38" s="23">
        <f>$C$38*$D$38*3</f>
        <v>1519.77</v>
      </c>
      <c r="I38" s="9">
        <f>SUM(E38:H38)</f>
        <v>6079.08</v>
      </c>
    </row>
    <row r="39" spans="1:9" ht="12.75">
      <c r="A39" s="44" t="s">
        <v>77</v>
      </c>
      <c r="B39" s="28"/>
      <c r="C39" s="29"/>
      <c r="D39" s="30"/>
      <c r="E39" s="9"/>
      <c r="F39" s="9"/>
      <c r="G39" s="9"/>
      <c r="H39" s="9"/>
      <c r="I39" s="9"/>
    </row>
    <row r="40" spans="1:9" ht="25.5">
      <c r="A40" s="20" t="s">
        <v>78</v>
      </c>
      <c r="B40" s="21" t="s">
        <v>17</v>
      </c>
      <c r="C40" s="29">
        <v>1.62</v>
      </c>
      <c r="D40" s="24">
        <v>723.7</v>
      </c>
      <c r="E40" s="23">
        <f>$C$40*$D$40*3</f>
        <v>3517.1820000000007</v>
      </c>
      <c r="F40" s="23">
        <f>$C$40*$D$40*3</f>
        <v>3517.1820000000007</v>
      </c>
      <c r="G40" s="23">
        <f>$C$40*$D$40*3</f>
        <v>3517.1820000000007</v>
      </c>
      <c r="H40" s="23">
        <f>$C$40*$D$40*3</f>
        <v>3517.1820000000007</v>
      </c>
      <c r="I40" s="9">
        <f>SUM(E40:H40)</f>
        <v>14068.728000000003</v>
      </c>
    </row>
    <row r="41" spans="1:9" ht="12.75">
      <c r="A41" s="45" t="s">
        <v>79</v>
      </c>
      <c r="B41" s="28"/>
      <c r="C41" s="29"/>
      <c r="D41" s="30"/>
      <c r="E41" s="9"/>
      <c r="F41" s="9"/>
      <c r="G41" s="9"/>
      <c r="H41" s="9"/>
      <c r="I41" s="9"/>
    </row>
    <row r="42" spans="1:9" ht="25.5">
      <c r="A42" s="48" t="s">
        <v>80</v>
      </c>
      <c r="B42" s="28"/>
      <c r="C42" s="29"/>
      <c r="D42" s="30"/>
      <c r="E42" s="9">
        <v>931</v>
      </c>
      <c r="F42" s="9">
        <v>932</v>
      </c>
      <c r="G42" s="9">
        <v>932</v>
      </c>
      <c r="H42" s="9">
        <v>932</v>
      </c>
      <c r="I42" s="9">
        <f>SUM(E42:H42)</f>
        <v>3727</v>
      </c>
    </row>
    <row r="43" spans="1:9" ht="12.75">
      <c r="A43" s="46" t="s">
        <v>81</v>
      </c>
      <c r="B43" s="21" t="s">
        <v>56</v>
      </c>
      <c r="C43" s="49">
        <f>3+0.936768</f>
        <v>3.936768</v>
      </c>
      <c r="D43" s="31">
        <v>13</v>
      </c>
      <c r="E43" s="23">
        <f>$C$43*$D$43*3</f>
        <v>153.533952</v>
      </c>
      <c r="F43" s="23">
        <f>$C$43*$D$43*3</f>
        <v>153.533952</v>
      </c>
      <c r="G43" s="23">
        <f>$C$43*$D$43*3</f>
        <v>153.533952</v>
      </c>
      <c r="H43" s="23">
        <f>$C$43*$D$43*3</f>
        <v>153.533952</v>
      </c>
      <c r="I43" s="9">
        <f>SUM(E43:H43)</f>
        <v>614.135808</v>
      </c>
    </row>
    <row r="44" spans="1:9" ht="12.75">
      <c r="A44" s="32" t="s">
        <v>20</v>
      </c>
      <c r="B44" s="33"/>
      <c r="C44" s="34"/>
      <c r="D44" s="33"/>
      <c r="E44" s="12">
        <f>SUM(E29:E43)</f>
        <v>14569.005952000001</v>
      </c>
      <c r="F44" s="12">
        <f>SUM(F29:F43)</f>
        <v>14570.005952000001</v>
      </c>
      <c r="G44" s="12">
        <f>SUM(G29:G43)</f>
        <v>14570.005952000001</v>
      </c>
      <c r="H44" s="12">
        <f>SUM(H29:H43)</f>
        <v>14570.005952000001</v>
      </c>
      <c r="I44" s="12">
        <f>SUM(I29:I43)</f>
        <v>58279.023808000005</v>
      </c>
    </row>
    <row r="45" spans="1:9" ht="12.75">
      <c r="A45" s="10" t="s">
        <v>35</v>
      </c>
      <c r="B45" s="6"/>
      <c r="C45" s="35"/>
      <c r="D45" s="6"/>
      <c r="E45" s="36">
        <v>1669</v>
      </c>
      <c r="F45" s="36">
        <v>1669</v>
      </c>
      <c r="G45" s="36">
        <v>1670</v>
      </c>
      <c r="H45" s="36">
        <v>1670</v>
      </c>
      <c r="I45" s="36">
        <f>SUM(E45:H45)</f>
        <v>6678</v>
      </c>
    </row>
    <row r="46" spans="1:9" ht="12.75">
      <c r="A46" s="37" t="s">
        <v>21</v>
      </c>
      <c r="B46" s="6"/>
      <c r="C46" s="35"/>
      <c r="D46" s="6"/>
      <c r="E46" s="38">
        <f>SUM(E44:E45)</f>
        <v>16238.005952000001</v>
      </c>
      <c r="F46" s="38">
        <f>SUM(F44:F45)</f>
        <v>16239.005952000001</v>
      </c>
      <c r="G46" s="38">
        <f>SUM(G44:G45)</f>
        <v>16240.005952000001</v>
      </c>
      <c r="H46" s="38">
        <f>SUM(H44:H45)</f>
        <v>16240.005952000001</v>
      </c>
      <c r="I46" s="38">
        <f>SUM(I44:I45)</f>
        <v>64957.023808000005</v>
      </c>
    </row>
    <row r="47" spans="1:9" ht="12.75">
      <c r="A47" s="39" t="s">
        <v>22</v>
      </c>
      <c r="B47" s="39"/>
      <c r="C47" s="39"/>
      <c r="D47" s="39"/>
      <c r="E47" s="39"/>
      <c r="F47" s="39"/>
      <c r="G47" s="39"/>
      <c r="H47" s="39"/>
      <c r="I47" s="40">
        <f>B22-I44</f>
        <v>-8531.90780800001</v>
      </c>
    </row>
    <row r="49" spans="1:5" ht="12.75">
      <c r="A49" s="41"/>
      <c r="E49" s="11"/>
    </row>
  </sheetData>
  <mergeCells count="9">
    <mergeCell ref="A13:I13"/>
    <mergeCell ref="A14:I14"/>
    <mergeCell ref="A15:I15"/>
    <mergeCell ref="A26:A27"/>
    <mergeCell ref="B26:B27"/>
    <mergeCell ref="C26:C27"/>
    <mergeCell ref="D26:D27"/>
    <mergeCell ref="E26:H26"/>
    <mergeCell ref="I26:I2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8">
      <selection activeCell="F49" sqref="F49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90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91</v>
      </c>
      <c r="B18" s="9">
        <v>0</v>
      </c>
    </row>
    <row r="19" spans="1:2" ht="25.5">
      <c r="A19" s="42" t="s">
        <v>24</v>
      </c>
      <c r="B19" s="9">
        <v>221375</v>
      </c>
    </row>
    <row r="20" spans="1:2" ht="25.5">
      <c r="A20" s="42" t="s">
        <v>25</v>
      </c>
      <c r="B20" s="9">
        <v>23465.75</v>
      </c>
    </row>
    <row r="21" spans="1:2" ht="25.5">
      <c r="A21" s="42" t="s">
        <v>26</v>
      </c>
      <c r="B21" s="9">
        <v>119099.75</v>
      </c>
    </row>
    <row r="22" spans="1:2" ht="12.75">
      <c r="A22" s="42" t="s">
        <v>27</v>
      </c>
      <c r="B22" s="9">
        <v>79695</v>
      </c>
    </row>
    <row r="23" spans="1:2" ht="12.75">
      <c r="A23" s="10" t="s">
        <v>35</v>
      </c>
      <c r="B23" s="9">
        <f>(B19+B20+B21+B22)*10%</f>
        <v>44363.55</v>
      </c>
    </row>
    <row r="24" spans="1:2" ht="12.75">
      <c r="A24" s="43" t="s">
        <v>28</v>
      </c>
      <c r="B24" s="12">
        <f>B18+B19+B20+B21+B22-B23</f>
        <v>399271.95</v>
      </c>
    </row>
    <row r="25" spans="1:2" ht="12.75">
      <c r="A25" s="42" t="s">
        <v>29</v>
      </c>
      <c r="B25" s="13">
        <v>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2.69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2510</v>
      </c>
      <c r="F33" s="23">
        <v>2000</v>
      </c>
      <c r="G33" s="23">
        <v>2000</v>
      </c>
      <c r="H33" s="23">
        <v>2000</v>
      </c>
      <c r="I33" s="9">
        <f aca="true" t="shared" si="0" ref="I33:I43">SUM(E33:H33)</f>
        <v>8510</v>
      </c>
    </row>
    <row r="34" spans="1:9" ht="25.5">
      <c r="A34" s="47" t="s">
        <v>38</v>
      </c>
      <c r="B34" s="21" t="s">
        <v>17</v>
      </c>
      <c r="C34" s="22">
        <v>0.42</v>
      </c>
      <c r="D34" s="24">
        <v>4025</v>
      </c>
      <c r="E34" s="23">
        <f>$C$34*$D$34*2</f>
        <v>3381</v>
      </c>
      <c r="F34" s="23">
        <f>$C$34*$D$34*3</f>
        <v>5071.5</v>
      </c>
      <c r="G34" s="23">
        <f>$C$34*$D$34*3</f>
        <v>5071.5</v>
      </c>
      <c r="H34" s="23">
        <f>$C$34*$D$34*3</f>
        <v>5071.5</v>
      </c>
      <c r="I34" s="9">
        <f t="shared" si="0"/>
        <v>18595.5</v>
      </c>
    </row>
    <row r="35" spans="1:9" ht="25.5">
      <c r="A35" s="47" t="s">
        <v>39</v>
      </c>
      <c r="B35" s="21" t="s">
        <v>17</v>
      </c>
      <c r="C35" s="22">
        <v>0.71</v>
      </c>
      <c r="D35" s="24">
        <v>4025</v>
      </c>
      <c r="E35" s="23">
        <f>$C$35*$D$35*2</f>
        <v>5715.5</v>
      </c>
      <c r="F35" s="23">
        <f>$C$35*$D$35*3</f>
        <v>8573.25</v>
      </c>
      <c r="G35" s="23">
        <f>$C$35*$D$35*3</f>
        <v>8573.25</v>
      </c>
      <c r="H35" s="23">
        <f>$C$35*$D$35*3</f>
        <v>8573.25</v>
      </c>
      <c r="I35" s="9">
        <f t="shared" si="0"/>
        <v>31435.25</v>
      </c>
    </row>
    <row r="36" spans="1:9" ht="25.5">
      <c r="A36" s="20" t="s">
        <v>40</v>
      </c>
      <c r="B36" s="21" t="s">
        <v>17</v>
      </c>
      <c r="C36" s="22">
        <v>0.25</v>
      </c>
      <c r="D36" s="24">
        <v>4025</v>
      </c>
      <c r="E36" s="23">
        <f>$C$36*$D$36*2</f>
        <v>2012.5</v>
      </c>
      <c r="F36" s="23">
        <f>$C$36*$D$36*3</f>
        <v>3018.75</v>
      </c>
      <c r="G36" s="23">
        <f>$C$36*$D$36*3</f>
        <v>3018.75</v>
      </c>
      <c r="H36" s="23">
        <f>$C$36*$D$36*3</f>
        <v>3018.75</v>
      </c>
      <c r="I36" s="9">
        <f t="shared" si="0"/>
        <v>11068.75</v>
      </c>
    </row>
    <row r="37" spans="1:9" ht="25.5">
      <c r="A37" s="47" t="s">
        <v>41</v>
      </c>
      <c r="B37" s="21" t="s">
        <v>17</v>
      </c>
      <c r="C37" s="25">
        <v>0.3</v>
      </c>
      <c r="D37" s="24">
        <v>4025</v>
      </c>
      <c r="E37" s="23">
        <f>$C$37*$D$37*2</f>
        <v>2415</v>
      </c>
      <c r="F37" s="23">
        <f>$C$37*$D$37*3</f>
        <v>3622.5</v>
      </c>
      <c r="G37" s="23">
        <f>$C$37*$D$37*3</f>
        <v>3622.5</v>
      </c>
      <c r="H37" s="23">
        <f>$C$37*$D$37*3</f>
        <v>3622.5</v>
      </c>
      <c r="I37" s="9">
        <f t="shared" si="0"/>
        <v>13282.5</v>
      </c>
    </row>
    <row r="38" spans="1:9" ht="25.5">
      <c r="A38" s="26" t="s">
        <v>42</v>
      </c>
      <c r="B38" s="17"/>
      <c r="C38" s="17"/>
      <c r="D38" s="17"/>
      <c r="E38" s="23">
        <v>2000</v>
      </c>
      <c r="F38" s="23">
        <v>3000</v>
      </c>
      <c r="G38" s="23">
        <v>3000</v>
      </c>
      <c r="H38" s="23">
        <v>3000</v>
      </c>
      <c r="I38" s="9">
        <f t="shared" si="0"/>
        <v>11000</v>
      </c>
    </row>
    <row r="39" spans="1:10" ht="25.5">
      <c r="A39" s="48" t="s">
        <v>43</v>
      </c>
      <c r="B39" s="21" t="s">
        <v>17</v>
      </c>
      <c r="C39" s="22">
        <v>0.85</v>
      </c>
      <c r="D39" s="24">
        <v>4025</v>
      </c>
      <c r="E39" s="23">
        <f>$C$39*$D$39*2</f>
        <v>6842.5</v>
      </c>
      <c r="F39" s="23">
        <f>$C$39*$D$39*3</f>
        <v>10263.75</v>
      </c>
      <c r="G39" s="23">
        <f>$C$39*$D$39*3</f>
        <v>10263.75</v>
      </c>
      <c r="H39" s="23">
        <f>$C$39*$D$39*3</f>
        <v>10263.75</v>
      </c>
      <c r="I39" s="9">
        <f t="shared" si="0"/>
        <v>37633.75</v>
      </c>
      <c r="J39" s="27"/>
    </row>
    <row r="40" spans="1:9" ht="25.5">
      <c r="A40" s="48" t="s">
        <v>44</v>
      </c>
      <c r="B40" s="21" t="s">
        <v>17</v>
      </c>
      <c r="C40" s="22">
        <v>0.65</v>
      </c>
      <c r="D40" s="24">
        <v>4025</v>
      </c>
      <c r="E40" s="23">
        <f>$C$40*$D$40*2</f>
        <v>5232.5</v>
      </c>
      <c r="F40" s="23">
        <f>$C$40*$D$40*3</f>
        <v>7848.75</v>
      </c>
      <c r="G40" s="23">
        <f>$C$40*$D$40*3</f>
        <v>7848.75</v>
      </c>
      <c r="H40" s="23">
        <f>$C$40*$D$40*3</f>
        <v>7848.75</v>
      </c>
      <c r="I40" s="9">
        <f t="shared" si="0"/>
        <v>28778.75</v>
      </c>
    </row>
    <row r="41" spans="1:9" ht="12.75">
      <c r="A41" s="20" t="s">
        <v>45</v>
      </c>
      <c r="B41" s="17" t="s">
        <v>18</v>
      </c>
      <c r="C41" s="17">
        <v>100</v>
      </c>
      <c r="D41" s="17">
        <v>1</v>
      </c>
      <c r="E41" s="9">
        <f>$C$41*$D$41*2</f>
        <v>200</v>
      </c>
      <c r="F41" s="9">
        <f>$C$41*$D$41*3</f>
        <v>300</v>
      </c>
      <c r="G41" s="9">
        <f>$C$41*$D$41*3</f>
        <v>300</v>
      </c>
      <c r="H41" s="9">
        <f>$C$41*$D$41*3</f>
        <v>300</v>
      </c>
      <c r="I41" s="9">
        <f t="shared" si="0"/>
        <v>1100</v>
      </c>
    </row>
    <row r="42" spans="1:9" ht="25.5">
      <c r="A42" s="48" t="s">
        <v>46</v>
      </c>
      <c r="B42" s="17"/>
      <c r="C42" s="17"/>
      <c r="D42" s="17"/>
      <c r="E42" s="23">
        <v>4000</v>
      </c>
      <c r="F42" s="23">
        <v>4000</v>
      </c>
      <c r="G42" s="23">
        <v>4000</v>
      </c>
      <c r="H42" s="23">
        <v>4000</v>
      </c>
      <c r="I42" s="9">
        <f t="shared" si="0"/>
        <v>16000</v>
      </c>
    </row>
    <row r="43" spans="1:9" ht="12.75">
      <c r="A43" s="20" t="s">
        <v>47</v>
      </c>
      <c r="B43" s="28" t="s">
        <v>19</v>
      </c>
      <c r="C43" s="29">
        <v>1</v>
      </c>
      <c r="D43" s="30">
        <v>300</v>
      </c>
      <c r="E43" s="9"/>
      <c r="F43" s="9">
        <f>C43*D43/2</f>
        <v>150</v>
      </c>
      <c r="G43" s="9"/>
      <c r="H43" s="9">
        <f>C43/2*D43</f>
        <v>150</v>
      </c>
      <c r="I43" s="9">
        <f t="shared" si="0"/>
        <v>300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4025</v>
      </c>
      <c r="E45" s="23">
        <f>$C$45*$D$45*2</f>
        <v>3864</v>
      </c>
      <c r="F45" s="23">
        <f>$C$45*$D$45*3</f>
        <v>5796</v>
      </c>
      <c r="G45" s="23">
        <f>$C$45*$D$45*3</f>
        <v>5796</v>
      </c>
      <c r="H45" s="23">
        <f>$C$45*$D$45*3</f>
        <v>5796</v>
      </c>
      <c r="I45" s="9">
        <f>SUM(E45:H45)</f>
        <v>21252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25.5">
      <c r="A47" s="20" t="s">
        <v>51</v>
      </c>
      <c r="B47" s="21" t="s">
        <v>17</v>
      </c>
      <c r="C47" s="29">
        <v>2.42</v>
      </c>
      <c r="D47" s="24">
        <v>4025</v>
      </c>
      <c r="E47" s="23">
        <f>$C$47*$D$47*2</f>
        <v>19481</v>
      </c>
      <c r="F47" s="23">
        <f>$C$47*$D$47*3</f>
        <v>29221.5</v>
      </c>
      <c r="G47" s="23">
        <f>$C$47*$D$47*3</f>
        <v>29221.5</v>
      </c>
      <c r="H47" s="23">
        <f>$C$47*$D$47*3</f>
        <v>29221.5</v>
      </c>
      <c r="I47" s="9">
        <f>SUM(E47:H47)</f>
        <v>107145.5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4025</v>
      </c>
      <c r="E49" s="23">
        <f>$C$49*$D$49*2</f>
        <v>13041</v>
      </c>
      <c r="F49" s="23">
        <f>$C$49*$D$49*3</f>
        <v>19561.5</v>
      </c>
      <c r="G49" s="23">
        <f>$C$49*$D$49*3</f>
        <v>19561.5</v>
      </c>
      <c r="H49" s="23">
        <f>$C$49*$D$49*3</f>
        <v>19561.5</v>
      </c>
      <c r="I49" s="9">
        <f>SUM(E49:H49)</f>
        <v>71725.5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f>1670*2</f>
        <v>3340</v>
      </c>
      <c r="F51" s="9">
        <f>1670*3</f>
        <v>5010</v>
      </c>
      <c r="G51" s="9">
        <f>1670*3</f>
        <v>5010</v>
      </c>
      <c r="H51" s="9">
        <f>1670*3</f>
        <v>5010</v>
      </c>
      <c r="I51" s="9">
        <f>SUM(E51:H51)</f>
        <v>18370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71</v>
      </c>
      <c r="E52" s="23">
        <f>$C$52*$D$52*2</f>
        <v>559.0210559999999</v>
      </c>
      <c r="F52" s="23">
        <f>$C$52*$D$52*3</f>
        <v>838.5315839999998</v>
      </c>
      <c r="G52" s="23">
        <f>$C$52*$D$52*3</f>
        <v>838.5315839999998</v>
      </c>
      <c r="H52" s="23">
        <f>$C$52*$D$52*3</f>
        <v>838.5315839999998</v>
      </c>
      <c r="I52" s="9">
        <f>SUM(E52:H52)</f>
        <v>3074.6158079999996</v>
      </c>
    </row>
    <row r="53" spans="1:9" ht="12.75">
      <c r="A53" s="32" t="s">
        <v>20</v>
      </c>
      <c r="B53" s="33"/>
      <c r="C53" s="34"/>
      <c r="D53" s="33"/>
      <c r="E53" s="12">
        <f>SUM(E33:E52)</f>
        <v>74594.021056</v>
      </c>
      <c r="F53" s="12">
        <f>SUM(F33:F52)</f>
        <v>108276.031584</v>
      </c>
      <c r="G53" s="12">
        <f>SUM(G33:G52)</f>
        <v>108126.031584</v>
      </c>
      <c r="H53" s="12">
        <f>SUM(H33:H52)</f>
        <v>108276.031584</v>
      </c>
      <c r="I53" s="12">
        <f>SUM(I33:I52)</f>
        <v>399272.115808</v>
      </c>
    </row>
    <row r="54" spans="1:9" ht="12.75">
      <c r="A54" s="10" t="s">
        <v>35</v>
      </c>
      <c r="B54" s="6"/>
      <c r="C54" s="35"/>
      <c r="D54" s="6"/>
      <c r="E54" s="36">
        <f>4033*2</f>
        <v>8066</v>
      </c>
      <c r="F54" s="36">
        <f>4033*3</f>
        <v>12099</v>
      </c>
      <c r="G54" s="36">
        <f>4033*3</f>
        <v>12099</v>
      </c>
      <c r="H54" s="36">
        <v>12100</v>
      </c>
      <c r="I54" s="36">
        <f>SUM(E54:H54)</f>
        <v>44364</v>
      </c>
    </row>
    <row r="55" spans="1:9" ht="12.75">
      <c r="A55" s="37" t="s">
        <v>21</v>
      </c>
      <c r="B55" s="6"/>
      <c r="C55" s="35"/>
      <c r="D55" s="6"/>
      <c r="E55" s="38">
        <f>SUM(E53:E54)</f>
        <v>82660.021056</v>
      </c>
      <c r="F55" s="38">
        <f>SUM(F53:F54)</f>
        <v>120375.031584</v>
      </c>
      <c r="G55" s="38">
        <f>SUM(G53:G54)</f>
        <v>120225.031584</v>
      </c>
      <c r="H55" s="38">
        <f>SUM(H53:H54)</f>
        <v>120376.031584</v>
      </c>
      <c r="I55" s="38">
        <f>SUM(I53:I54)</f>
        <v>443636.115808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-0.16580799996154383</v>
      </c>
    </row>
    <row r="58" spans="1:5" ht="12.75">
      <c r="A58" s="41"/>
      <c r="E58" s="11"/>
    </row>
    <row r="59" ht="12.75">
      <c r="A59" s="5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7">
      <selection activeCell="I54" sqref="I54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9" width="8.5742187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4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-29962.17</v>
      </c>
    </row>
    <row r="19" spans="1:2" ht="25.5">
      <c r="A19" s="42" t="s">
        <v>24</v>
      </c>
      <c r="B19" s="9">
        <v>221232.78</v>
      </c>
    </row>
    <row r="20" spans="1:2" ht="25.5">
      <c r="A20" s="42" t="s">
        <v>25</v>
      </c>
      <c r="B20" s="9">
        <v>26404.18</v>
      </c>
    </row>
    <row r="21" spans="1:2" ht="25.5">
      <c r="A21" s="42" t="s">
        <v>26</v>
      </c>
      <c r="B21" s="9">
        <v>130771.26</v>
      </c>
    </row>
    <row r="22" spans="1:2" ht="12.75">
      <c r="A22" s="42" t="s">
        <v>27</v>
      </c>
      <c r="B22" s="9">
        <v>89674.56</v>
      </c>
    </row>
    <row r="23" spans="1:2" ht="12.75">
      <c r="A23" s="10" t="s">
        <v>35</v>
      </c>
      <c r="B23" s="9">
        <f>(B19+B20+B21+B22)*10%</f>
        <v>46808.278</v>
      </c>
    </row>
    <row r="24" spans="1:2" ht="12.75">
      <c r="A24" s="43" t="s">
        <v>28</v>
      </c>
      <c r="B24" s="12">
        <f>B18+B19+B20+B21+B22-B23</f>
        <v>391312.332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2.67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aca="true" t="shared" si="0" ref="I33:I43">SUM(E33:H33)</f>
        <v>4000</v>
      </c>
    </row>
    <row r="34" spans="1:9" ht="25.5">
      <c r="A34" s="47" t="s">
        <v>38</v>
      </c>
      <c r="B34" s="21" t="s">
        <v>17</v>
      </c>
      <c r="C34" s="22">
        <v>0.42</v>
      </c>
      <c r="D34" s="24">
        <f>4081.5+70.1</f>
        <v>4151.6</v>
      </c>
      <c r="E34" s="23">
        <f>$C$34*$D$34*3</f>
        <v>5231.016</v>
      </c>
      <c r="F34" s="23">
        <f>$C$34*$D$34*3</f>
        <v>5231.016</v>
      </c>
      <c r="G34" s="23">
        <f>$C$34*$D$34*3</f>
        <v>5231.016</v>
      </c>
      <c r="H34" s="23">
        <f>$C$34*$D$34*3</f>
        <v>5231.016</v>
      </c>
      <c r="I34" s="9">
        <f t="shared" si="0"/>
        <v>20924.064</v>
      </c>
    </row>
    <row r="35" spans="1:9" ht="25.5">
      <c r="A35" s="47" t="s">
        <v>39</v>
      </c>
      <c r="B35" s="21" t="s">
        <v>17</v>
      </c>
      <c r="C35" s="22">
        <v>0.71</v>
      </c>
      <c r="D35" s="24">
        <f>4081.5+70.1</f>
        <v>4151.6</v>
      </c>
      <c r="E35" s="23">
        <f>$C$35*$D$35*3</f>
        <v>8842.908</v>
      </c>
      <c r="F35" s="23">
        <f>$C$35*$D$35*3</f>
        <v>8842.908</v>
      </c>
      <c r="G35" s="23">
        <f>$C$35*$D$35*3</f>
        <v>8842.908</v>
      </c>
      <c r="H35" s="23">
        <f>$C$35*$D$35*3</f>
        <v>8842.908</v>
      </c>
      <c r="I35" s="9">
        <f t="shared" si="0"/>
        <v>35371.632</v>
      </c>
    </row>
    <row r="36" spans="1:9" ht="25.5">
      <c r="A36" s="20" t="s">
        <v>40</v>
      </c>
      <c r="B36" s="21" t="s">
        <v>17</v>
      </c>
      <c r="C36" s="22">
        <v>0.25</v>
      </c>
      <c r="D36" s="24">
        <f>4081.5+70.1</f>
        <v>4151.6</v>
      </c>
      <c r="E36" s="23">
        <f>$C$36*$D$36*3</f>
        <v>3113.7000000000003</v>
      </c>
      <c r="F36" s="23">
        <f>$C$36*$D$36*3</f>
        <v>3113.7000000000003</v>
      </c>
      <c r="G36" s="23">
        <f>$C$36*$D$36*3</f>
        <v>3113.7000000000003</v>
      </c>
      <c r="H36" s="23">
        <f>$C$36*$D$36*3</f>
        <v>3113.7000000000003</v>
      </c>
      <c r="I36" s="9">
        <f t="shared" si="0"/>
        <v>12454.800000000001</v>
      </c>
    </row>
    <row r="37" spans="1:9" ht="25.5">
      <c r="A37" s="47" t="s">
        <v>41</v>
      </c>
      <c r="B37" s="21" t="s">
        <v>17</v>
      </c>
      <c r="C37" s="25">
        <v>0.3</v>
      </c>
      <c r="D37" s="24">
        <f>4081.5+70.1</f>
        <v>4151.6</v>
      </c>
      <c r="E37" s="23">
        <f>$C$37*$D$37*3</f>
        <v>3736.44</v>
      </c>
      <c r="F37" s="23">
        <f>$C$37*$D$37*3</f>
        <v>3736.44</v>
      </c>
      <c r="G37" s="23">
        <f>$C$37*$D$37*3</f>
        <v>3736.44</v>
      </c>
      <c r="H37" s="23">
        <f>$C$37*$D$37*3</f>
        <v>3736.44</v>
      </c>
      <c r="I37" s="9">
        <f t="shared" si="0"/>
        <v>14945.76</v>
      </c>
    </row>
    <row r="38" spans="1:9" ht="25.5">
      <c r="A38" s="26" t="s">
        <v>42</v>
      </c>
      <c r="B38" s="17"/>
      <c r="C38" s="17"/>
      <c r="D38" s="17"/>
      <c r="E38" s="23">
        <v>1000</v>
      </c>
      <c r="F38" s="23">
        <v>1000</v>
      </c>
      <c r="G38" s="23">
        <v>1000</v>
      </c>
      <c r="H38" s="23">
        <v>1000</v>
      </c>
      <c r="I38" s="9">
        <f t="shared" si="0"/>
        <v>4000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f>4081.5+70.1</f>
        <v>4151.6</v>
      </c>
      <c r="E39" s="23">
        <f>$C$39*$D$39*3</f>
        <v>8095.620000000001</v>
      </c>
      <c r="F39" s="23">
        <f>$C$39*$D$39*3</f>
        <v>8095.620000000001</v>
      </c>
      <c r="G39" s="23">
        <f>$C$39*$D$39*3</f>
        <v>8095.620000000001</v>
      </c>
      <c r="H39" s="23">
        <f>$C$39*$D$39*3</f>
        <v>8095.620000000001</v>
      </c>
      <c r="I39" s="9">
        <f t="shared" si="0"/>
        <v>32382.480000000003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f>4081.5</f>
        <v>4081.5</v>
      </c>
      <c r="E40" s="23">
        <f>$C$40*$D$40*3</f>
        <v>6734.475</v>
      </c>
      <c r="F40" s="23">
        <f>$C$40*$D$40*3</f>
        <v>6734.475</v>
      </c>
      <c r="G40" s="23">
        <f>$C$40*$D$40*3</f>
        <v>6734.475</v>
      </c>
      <c r="H40" s="23">
        <f>$C$40*$D$40*3</f>
        <v>6734.475</v>
      </c>
      <c r="I40" s="9">
        <f t="shared" si="0"/>
        <v>26937.9</v>
      </c>
    </row>
    <row r="41" spans="1:9" ht="12.75">
      <c r="A41" s="20" t="s">
        <v>45</v>
      </c>
      <c r="B41" s="17" t="s">
        <v>18</v>
      </c>
      <c r="C41" s="17">
        <v>100</v>
      </c>
      <c r="D41" s="17">
        <v>2</v>
      </c>
      <c r="E41" s="9">
        <f>$C$41*$D$41*3</f>
        <v>600</v>
      </c>
      <c r="F41" s="9">
        <f>$C$41*$D$41*3</f>
        <v>600</v>
      </c>
      <c r="G41" s="9">
        <f>$C$41*$D$41*3</f>
        <v>600</v>
      </c>
      <c r="H41" s="9">
        <f>$C$41*$D$41*3</f>
        <v>600</v>
      </c>
      <c r="I41" s="9">
        <f t="shared" si="0"/>
        <v>2400</v>
      </c>
    </row>
    <row r="42" spans="1:9" ht="25.5">
      <c r="A42" s="48" t="s">
        <v>46</v>
      </c>
      <c r="B42" s="17"/>
      <c r="C42" s="17"/>
      <c r="D42" s="17"/>
      <c r="E42" s="9">
        <v>1000</v>
      </c>
      <c r="F42" s="9">
        <v>1000</v>
      </c>
      <c r="G42" s="9">
        <v>1000</v>
      </c>
      <c r="H42" s="9">
        <v>1000</v>
      </c>
      <c r="I42" s="9">
        <f t="shared" si="0"/>
        <v>4000</v>
      </c>
    </row>
    <row r="43" spans="1:9" ht="12.75">
      <c r="A43" s="20" t="s">
        <v>47</v>
      </c>
      <c r="B43" s="28" t="s">
        <v>19</v>
      </c>
      <c r="C43" s="29">
        <v>1</v>
      </c>
      <c r="D43" s="30">
        <v>507.6</v>
      </c>
      <c r="E43" s="9"/>
      <c r="F43" s="9">
        <f>C43*D43/2</f>
        <v>253.8</v>
      </c>
      <c r="G43" s="9"/>
      <c r="H43" s="9">
        <f>C43/2*D43</f>
        <v>253.8</v>
      </c>
      <c r="I43" s="9">
        <f t="shared" si="0"/>
        <v>507.6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f>4081.5+70.1</f>
        <v>4151.6</v>
      </c>
      <c r="E45" s="23">
        <f>$C$45*$D$45*3</f>
        <v>5978.304</v>
      </c>
      <c r="F45" s="23">
        <f>$C$45*$D$45*3</f>
        <v>5978.304</v>
      </c>
      <c r="G45" s="23">
        <f>$C$45*$D$45*3</f>
        <v>5978.304</v>
      </c>
      <c r="H45" s="23">
        <f>$C$45*$D$45*3</f>
        <v>5978.304</v>
      </c>
      <c r="I45" s="9">
        <f>SUM(E45:H45)</f>
        <v>23913.216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2</v>
      </c>
      <c r="E47" s="23">
        <f>$C$47*$D$47*3</f>
        <v>27900</v>
      </c>
      <c r="F47" s="23">
        <f>$C$47*$D$47*3</f>
        <v>27900</v>
      </c>
      <c r="G47" s="23">
        <f>$C$47*$D$47*3</f>
        <v>27900</v>
      </c>
      <c r="H47" s="23">
        <f>$C$47*$D$47*3</f>
        <v>27900</v>
      </c>
      <c r="I47" s="9">
        <f>SUM(E47:H47)</f>
        <v>111600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f>4081.5+70.1</f>
        <v>4151.6</v>
      </c>
      <c r="E49" s="23">
        <f>$C$49*$D$49*3</f>
        <v>20176.776000000005</v>
      </c>
      <c r="F49" s="23">
        <f>$C$49*$D$49*3</f>
        <v>20176.776000000005</v>
      </c>
      <c r="G49" s="23">
        <f>$C$49*$D$49*3</f>
        <v>20176.776000000005</v>
      </c>
      <c r="H49" s="23">
        <f>$C$49*$D$49*3</f>
        <v>20176.776000000005</v>
      </c>
      <c r="I49" s="9">
        <f>SUM(E49:H49)</f>
        <v>80707.10400000002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4996</v>
      </c>
      <c r="F51" s="9">
        <v>4996</v>
      </c>
      <c r="G51" s="9">
        <v>4996</v>
      </c>
      <c r="H51" s="9">
        <v>4996</v>
      </c>
      <c r="I51" s="9">
        <f>SUM(E51:H51)</f>
        <v>19984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80</v>
      </c>
      <c r="E52" s="23">
        <f>$C$52*$D$52*3</f>
        <v>944.82432</v>
      </c>
      <c r="F52" s="23">
        <f>$C$52*$D$52*3</f>
        <v>944.82432</v>
      </c>
      <c r="G52" s="23">
        <f>$C$52*$D$52*3</f>
        <v>944.82432</v>
      </c>
      <c r="H52" s="23">
        <f>$C$52*$D$52*3</f>
        <v>944.82432</v>
      </c>
      <c r="I52" s="9">
        <f>SUM(E52:H52)</f>
        <v>3779.29728</v>
      </c>
    </row>
    <row r="53" spans="1:9" ht="12.75">
      <c r="A53" s="32" t="s">
        <v>20</v>
      </c>
      <c r="B53" s="33"/>
      <c r="C53" s="34"/>
      <c r="D53" s="33"/>
      <c r="E53" s="12">
        <f>SUM(E33:E52)</f>
        <v>99350.06332</v>
      </c>
      <c r="F53" s="12">
        <f>SUM(F33:F52)</f>
        <v>99603.86332000002</v>
      </c>
      <c r="G53" s="12">
        <f>SUM(G33:G52)</f>
        <v>99350.06332</v>
      </c>
      <c r="H53" s="12">
        <f>SUM(H33:H52)</f>
        <v>99603.86332000002</v>
      </c>
      <c r="I53" s="12">
        <f>SUM(I33:I52)</f>
        <v>397907.85328</v>
      </c>
    </row>
    <row r="54" spans="1:9" ht="12.75">
      <c r="A54" s="10" t="s">
        <v>35</v>
      </c>
      <c r="B54" s="6"/>
      <c r="C54" s="35"/>
      <c r="D54" s="6"/>
      <c r="E54" s="36">
        <v>11702</v>
      </c>
      <c r="F54" s="36">
        <v>11702</v>
      </c>
      <c r="G54" s="36">
        <v>11702</v>
      </c>
      <c r="H54" s="36">
        <v>11702</v>
      </c>
      <c r="I54" s="36">
        <f>SUM(E54:H54)</f>
        <v>46808</v>
      </c>
    </row>
    <row r="55" spans="1:9" ht="12.75">
      <c r="A55" s="37" t="s">
        <v>21</v>
      </c>
      <c r="B55" s="6"/>
      <c r="C55" s="35"/>
      <c r="D55" s="6"/>
      <c r="E55" s="38">
        <f>SUM(E53:E54)</f>
        <v>111052.06332</v>
      </c>
      <c r="F55" s="38">
        <f>SUM(F53:F54)</f>
        <v>111305.86332000002</v>
      </c>
      <c r="G55" s="38">
        <f>SUM(G53:G54)</f>
        <v>111052.06332</v>
      </c>
      <c r="H55" s="38">
        <f>SUM(H53:H54)</f>
        <v>111305.86332000002</v>
      </c>
      <c r="I55" s="38">
        <f>SUM(I53:I54)</f>
        <v>444715.85328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-6595.521279999986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4">
      <selection activeCell="B24" sqref="B24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92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91</v>
      </c>
      <c r="B18" s="9">
        <v>0</v>
      </c>
    </row>
    <row r="19" spans="1:2" ht="25.5">
      <c r="A19" s="42" t="s">
        <v>24</v>
      </c>
      <c r="B19" s="9">
        <v>169526.5</v>
      </c>
    </row>
    <row r="20" spans="1:3" ht="25.5">
      <c r="A20" s="58" t="s">
        <v>25</v>
      </c>
      <c r="B20" s="59">
        <v>17969.81</v>
      </c>
      <c r="C20" s="51" t="s">
        <v>119</v>
      </c>
    </row>
    <row r="21" spans="1:2" ht="25.5">
      <c r="A21" s="42" t="s">
        <v>26</v>
      </c>
      <c r="B21" s="9">
        <v>91205.26</v>
      </c>
    </row>
    <row r="22" spans="1:2" ht="12.75">
      <c r="A22" s="42" t="s">
        <v>27</v>
      </c>
      <c r="B22" s="9">
        <v>61029.54</v>
      </c>
    </row>
    <row r="23" spans="1:2" ht="12.75">
      <c r="A23" s="10" t="s">
        <v>35</v>
      </c>
      <c r="B23" s="9">
        <f>(B19+B20+B21+B22)*10%</f>
        <v>33973.111</v>
      </c>
    </row>
    <row r="24" spans="1:2" ht="12.75">
      <c r="A24" s="43" t="s">
        <v>28</v>
      </c>
      <c r="B24" s="12">
        <f>B18+B19+B20+B21+B22-B23</f>
        <v>305757.999</v>
      </c>
    </row>
    <row r="25" spans="1:2" ht="12.75">
      <c r="A25" s="42" t="s">
        <v>29</v>
      </c>
      <c r="B25" s="13">
        <v>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2.69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2000</v>
      </c>
      <c r="F33" s="23">
        <v>2000</v>
      </c>
      <c r="G33" s="23">
        <v>2000</v>
      </c>
      <c r="H33" s="23">
        <v>2000</v>
      </c>
      <c r="I33" s="9">
        <f aca="true" t="shared" si="0" ref="I33:I43">SUM(E33:H33)</f>
        <v>8000</v>
      </c>
    </row>
    <row r="34" spans="1:9" ht="25.5">
      <c r="A34" s="47" t="s">
        <v>38</v>
      </c>
      <c r="B34" s="21" t="s">
        <v>17</v>
      </c>
      <c r="C34" s="22">
        <v>0.42</v>
      </c>
      <c r="D34" s="24">
        <v>3082.3</v>
      </c>
      <c r="E34" s="23">
        <f>$C$34*$D$34*2</f>
        <v>2589.132</v>
      </c>
      <c r="F34" s="23">
        <f>$C$34*$D$34*3</f>
        <v>3883.6980000000003</v>
      </c>
      <c r="G34" s="23">
        <f>$C$34*$D$34*3</f>
        <v>3883.6980000000003</v>
      </c>
      <c r="H34" s="23">
        <f>$C$34*$D$34*3</f>
        <v>3883.6980000000003</v>
      </c>
      <c r="I34" s="9">
        <f t="shared" si="0"/>
        <v>14240.226</v>
      </c>
    </row>
    <row r="35" spans="1:9" ht="25.5">
      <c r="A35" s="47" t="s">
        <v>39</v>
      </c>
      <c r="B35" s="21" t="s">
        <v>17</v>
      </c>
      <c r="C35" s="22">
        <v>0.71</v>
      </c>
      <c r="D35" s="24">
        <v>3082.3</v>
      </c>
      <c r="E35" s="23">
        <f>$C$35*$D$35*2</f>
        <v>4376.866</v>
      </c>
      <c r="F35" s="23">
        <f>$C$35*$D$35*3</f>
        <v>6565.299</v>
      </c>
      <c r="G35" s="23">
        <f>$C$35*$D$35*3</f>
        <v>6565.299</v>
      </c>
      <c r="H35" s="23">
        <f>$C$35*$D$35*3</f>
        <v>6565.299</v>
      </c>
      <c r="I35" s="9">
        <f t="shared" si="0"/>
        <v>24072.763</v>
      </c>
    </row>
    <row r="36" spans="1:9" ht="25.5">
      <c r="A36" s="20" t="s">
        <v>40</v>
      </c>
      <c r="B36" s="21" t="s">
        <v>17</v>
      </c>
      <c r="C36" s="22">
        <v>0.25</v>
      </c>
      <c r="D36" s="24">
        <v>3082.3</v>
      </c>
      <c r="E36" s="23">
        <f>$C$36*$D$36*2</f>
        <v>1541.15</v>
      </c>
      <c r="F36" s="23">
        <f>$C$36*$D$36*3</f>
        <v>2311.7250000000004</v>
      </c>
      <c r="G36" s="23">
        <f>$C$36*$D$36*3</f>
        <v>2311.7250000000004</v>
      </c>
      <c r="H36" s="23">
        <f>$C$36*$D$36*3</f>
        <v>2311.7250000000004</v>
      </c>
      <c r="I36" s="9">
        <f t="shared" si="0"/>
        <v>8476.325</v>
      </c>
    </row>
    <row r="37" spans="1:9" ht="25.5">
      <c r="A37" s="47" t="s">
        <v>41</v>
      </c>
      <c r="B37" s="21" t="s">
        <v>17</v>
      </c>
      <c r="C37" s="25">
        <v>0.3</v>
      </c>
      <c r="D37" s="24">
        <v>3082.3</v>
      </c>
      <c r="E37" s="23">
        <f>$C$37*$D$37*2</f>
        <v>1849.38</v>
      </c>
      <c r="F37" s="23">
        <f>$C$37*$D$37*3</f>
        <v>2774.07</v>
      </c>
      <c r="G37" s="23">
        <f>$C$37*$D$37*3</f>
        <v>2774.07</v>
      </c>
      <c r="H37" s="23">
        <f>$C$37*$D$37*3</f>
        <v>2774.07</v>
      </c>
      <c r="I37" s="9">
        <f t="shared" si="0"/>
        <v>10171.59</v>
      </c>
    </row>
    <row r="38" spans="1:9" ht="25.5">
      <c r="A38" s="26" t="s">
        <v>42</v>
      </c>
      <c r="B38" s="17"/>
      <c r="C38" s="17"/>
      <c r="D38" s="17"/>
      <c r="E38" s="23">
        <v>1500</v>
      </c>
      <c r="F38" s="23">
        <v>2000</v>
      </c>
      <c r="G38" s="23">
        <v>2000</v>
      </c>
      <c r="H38" s="23">
        <v>2000</v>
      </c>
      <c r="I38" s="9">
        <f t="shared" si="0"/>
        <v>7500</v>
      </c>
    </row>
    <row r="39" spans="1:10" ht="25.5">
      <c r="A39" s="48" t="s">
        <v>43</v>
      </c>
      <c r="B39" s="21" t="s">
        <v>17</v>
      </c>
      <c r="C39" s="22">
        <v>0.85</v>
      </c>
      <c r="D39" s="24">
        <v>3082.3</v>
      </c>
      <c r="E39" s="23">
        <f>$C$39*$D$39*2</f>
        <v>5239.91</v>
      </c>
      <c r="F39" s="23">
        <f>$C$39*$D$39*3</f>
        <v>7859.865</v>
      </c>
      <c r="G39" s="23">
        <f>$C$39*$D$39*3</f>
        <v>7859.865</v>
      </c>
      <c r="H39" s="23">
        <f>$C$39*$D$39*3</f>
        <v>7859.865</v>
      </c>
      <c r="I39" s="9">
        <f t="shared" si="0"/>
        <v>28819.504999999997</v>
      </c>
      <c r="J39" s="27"/>
    </row>
    <row r="40" spans="1:9" ht="25.5">
      <c r="A40" s="48" t="s">
        <v>44</v>
      </c>
      <c r="B40" s="21" t="s">
        <v>17</v>
      </c>
      <c r="C40" s="22">
        <v>0.65</v>
      </c>
      <c r="D40" s="24">
        <v>3082.3</v>
      </c>
      <c r="E40" s="23">
        <f>$C$40*$D$40*2</f>
        <v>4006.9900000000002</v>
      </c>
      <c r="F40" s="23">
        <f>$C$40*$D$40*3</f>
        <v>6010.485000000001</v>
      </c>
      <c r="G40" s="23">
        <f>$C$40*$D$40*3</f>
        <v>6010.485000000001</v>
      </c>
      <c r="H40" s="23">
        <f>$C$40*$D$40*3</f>
        <v>6010.485000000001</v>
      </c>
      <c r="I40" s="9">
        <f t="shared" si="0"/>
        <v>22038.445</v>
      </c>
    </row>
    <row r="41" spans="1:9" ht="12.75">
      <c r="A41" s="20" t="s">
        <v>45</v>
      </c>
      <c r="B41" s="17" t="s">
        <v>18</v>
      </c>
      <c r="C41" s="17">
        <v>100</v>
      </c>
      <c r="D41" s="17">
        <v>1</v>
      </c>
      <c r="E41" s="9">
        <f>$C$41*$D$41*2</f>
        <v>200</v>
      </c>
      <c r="F41" s="9">
        <f>$C$41*$D$41*3</f>
        <v>300</v>
      </c>
      <c r="G41" s="9">
        <f>$C$41*$D$41*3</f>
        <v>300</v>
      </c>
      <c r="H41" s="9">
        <f>$C$41*$D$41*3</f>
        <v>300</v>
      </c>
      <c r="I41" s="9">
        <f t="shared" si="0"/>
        <v>1100</v>
      </c>
    </row>
    <row r="42" spans="1:9" ht="25.5">
      <c r="A42" s="48" t="s">
        <v>46</v>
      </c>
      <c r="B42" s="17"/>
      <c r="C42" s="17"/>
      <c r="D42" s="17"/>
      <c r="E42" s="23">
        <v>2268</v>
      </c>
      <c r="F42" s="23">
        <v>2000</v>
      </c>
      <c r="G42" s="23">
        <v>2000</v>
      </c>
      <c r="H42" s="23">
        <v>2000</v>
      </c>
      <c r="I42" s="9">
        <f t="shared" si="0"/>
        <v>8268</v>
      </c>
    </row>
    <row r="43" spans="1:9" ht="12.75">
      <c r="A43" s="20" t="s">
        <v>47</v>
      </c>
      <c r="B43" s="28" t="s">
        <v>19</v>
      </c>
      <c r="C43" s="29">
        <v>1</v>
      </c>
      <c r="D43" s="30">
        <v>300</v>
      </c>
      <c r="E43" s="9"/>
      <c r="F43" s="9">
        <f>C43*D43/2</f>
        <v>150</v>
      </c>
      <c r="G43" s="9"/>
      <c r="H43" s="9">
        <f>C43/2*D43</f>
        <v>150</v>
      </c>
      <c r="I43" s="9">
        <f t="shared" si="0"/>
        <v>300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3082.3</v>
      </c>
      <c r="E45" s="23">
        <f>$C$45*$D$45*2</f>
        <v>2959.0080000000003</v>
      </c>
      <c r="F45" s="23">
        <f>$C$45*$D$45*3</f>
        <v>4438.512000000001</v>
      </c>
      <c r="G45" s="23">
        <f>$C$45*$D$45*3</f>
        <v>4438.512000000001</v>
      </c>
      <c r="H45" s="23">
        <f>$C$45*$D$45*3</f>
        <v>4438.512000000001</v>
      </c>
      <c r="I45" s="9">
        <f>SUM(E45:H45)</f>
        <v>16274.544000000002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25.5">
      <c r="A47" s="20" t="s">
        <v>51</v>
      </c>
      <c r="B47" s="21" t="s">
        <v>17</v>
      </c>
      <c r="C47" s="29">
        <v>2.42</v>
      </c>
      <c r="D47" s="24">
        <v>3082.3</v>
      </c>
      <c r="E47" s="23">
        <f>$C$47*$D$47*2</f>
        <v>14918.332</v>
      </c>
      <c r="F47" s="23">
        <f>$C$47*$D$47*3</f>
        <v>22377.498</v>
      </c>
      <c r="G47" s="23">
        <f>$C$47*$D$47*3</f>
        <v>22377.498</v>
      </c>
      <c r="H47" s="23">
        <f>$C$47*$D$47*3</f>
        <v>22377.498</v>
      </c>
      <c r="I47" s="9">
        <f>SUM(E47:H47)</f>
        <v>82050.826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3082.3</v>
      </c>
      <c r="E49" s="23">
        <f>$C$49*$D$49*2</f>
        <v>9986.652000000002</v>
      </c>
      <c r="F49" s="23">
        <f>$C$49*$D$49*3</f>
        <v>14979.978000000003</v>
      </c>
      <c r="G49" s="23">
        <f>$C$49*$D$49*3</f>
        <v>14979.978000000003</v>
      </c>
      <c r="H49" s="23">
        <f>$C$49*$D$49*3</f>
        <v>14979.978000000003</v>
      </c>
      <c r="I49" s="9">
        <f>SUM(E49:H49)</f>
        <v>54926.58600000001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2565</v>
      </c>
      <c r="F51" s="9">
        <v>3847</v>
      </c>
      <c r="G51" s="9">
        <v>3847</v>
      </c>
      <c r="H51" s="9">
        <v>3847</v>
      </c>
      <c r="I51" s="9">
        <f>SUM(E51:H51)</f>
        <v>14106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125</v>
      </c>
      <c r="E52" s="23">
        <f>$C$52*$D$52*2</f>
        <v>984.192</v>
      </c>
      <c r="F52" s="23">
        <f>$C$52*$D$52*3</f>
        <v>1476.288</v>
      </c>
      <c r="G52" s="23">
        <f>$C$52*$D$52*3</f>
        <v>1476.288</v>
      </c>
      <c r="H52" s="23">
        <f>$C$52*$D$52*3</f>
        <v>1476.288</v>
      </c>
      <c r="I52" s="9">
        <f>SUM(E52:H52)</f>
        <v>5413.0560000000005</v>
      </c>
    </row>
    <row r="53" spans="1:9" ht="12.75">
      <c r="A53" s="32" t="s">
        <v>20</v>
      </c>
      <c r="B53" s="33"/>
      <c r="C53" s="34"/>
      <c r="D53" s="33"/>
      <c r="E53" s="12">
        <f>SUM(E33:E52)</f>
        <v>56984.61200000001</v>
      </c>
      <c r="F53" s="12">
        <f>SUM(F33:F52)</f>
        <v>82974.418</v>
      </c>
      <c r="G53" s="12">
        <f>SUM(G33:G52)</f>
        <v>82824.418</v>
      </c>
      <c r="H53" s="12">
        <f>SUM(H33:H52)</f>
        <v>82974.418</v>
      </c>
      <c r="I53" s="12">
        <f>SUM(I33:I52)</f>
        <v>305757.866</v>
      </c>
    </row>
    <row r="54" spans="1:9" ht="12.75">
      <c r="A54" s="10" t="s">
        <v>35</v>
      </c>
      <c r="B54" s="6"/>
      <c r="C54" s="35"/>
      <c r="D54" s="6"/>
      <c r="E54" s="36">
        <f>3088.5*2</f>
        <v>6177</v>
      </c>
      <c r="F54" s="36">
        <f>3088.4*3</f>
        <v>9265.2</v>
      </c>
      <c r="G54" s="36">
        <f>3088.4*3</f>
        <v>9265.2</v>
      </c>
      <c r="H54" s="36">
        <f>3088.4*3</f>
        <v>9265.2</v>
      </c>
      <c r="I54" s="36">
        <f>SUM(E54:H54)</f>
        <v>33972.600000000006</v>
      </c>
    </row>
    <row r="55" spans="1:9" ht="12.75">
      <c r="A55" s="37" t="s">
        <v>21</v>
      </c>
      <c r="B55" s="6"/>
      <c r="C55" s="35"/>
      <c r="D55" s="6"/>
      <c r="E55" s="38">
        <f>SUM(E53:E54)</f>
        <v>63161.61200000001</v>
      </c>
      <c r="F55" s="38">
        <f>SUM(F53:F54)</f>
        <v>92239.618</v>
      </c>
      <c r="G55" s="38">
        <f>SUM(G53:G54)</f>
        <v>92089.618</v>
      </c>
      <c r="H55" s="38">
        <f>SUM(H53:H54)</f>
        <v>92239.618</v>
      </c>
      <c r="I55" s="38">
        <f>SUM(I53:I54)</f>
        <v>339730.466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0.13300000003073364</v>
      </c>
    </row>
    <row r="58" spans="1:5" ht="12.75">
      <c r="A58" s="51"/>
      <c r="E58" s="11"/>
    </row>
    <row r="59" ht="12.75">
      <c r="A59" s="5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7">
      <selection activeCell="D52" sqref="D52"/>
    </sheetView>
  </sheetViews>
  <sheetFormatPr defaultColWidth="9.140625" defaultRowHeight="12.75"/>
  <cols>
    <col min="1" max="1" width="51.28125" style="102" customWidth="1"/>
    <col min="2" max="2" width="11.421875" style="102" customWidth="1"/>
    <col min="3" max="9" width="8.57421875" style="102" customWidth="1"/>
    <col min="10" max="16384" width="9.140625" style="102" customWidth="1"/>
  </cols>
  <sheetData>
    <row r="1" spans="1:6" s="63" customFormat="1" ht="12.75">
      <c r="A1" s="63" t="s">
        <v>0</v>
      </c>
      <c r="F1" s="63" t="s">
        <v>0</v>
      </c>
    </row>
    <row r="2" s="63" customFormat="1" ht="12.75">
      <c r="H2" s="65"/>
    </row>
    <row r="3" spans="1:6" s="63" customFormat="1" ht="12.75">
      <c r="A3" s="66" t="s">
        <v>1</v>
      </c>
      <c r="F3" s="64" t="s">
        <v>2</v>
      </c>
    </row>
    <row r="4" s="63" customFormat="1" ht="12.75">
      <c r="H4" s="65"/>
    </row>
    <row r="6" spans="1:8" s="63" customFormat="1" ht="12.75">
      <c r="A6" s="66" t="s">
        <v>3</v>
      </c>
      <c r="F6" s="63" t="s">
        <v>34</v>
      </c>
      <c r="H6" s="65"/>
    </row>
    <row r="7" spans="1:8" s="67" customFormat="1" ht="12.75">
      <c r="A7" s="66"/>
      <c r="B7" s="63"/>
      <c r="C7" s="63"/>
      <c r="D7" s="63"/>
      <c r="E7" s="63"/>
      <c r="F7" s="63"/>
      <c r="G7" s="5"/>
      <c r="H7" s="95"/>
    </row>
    <row r="8" spans="1:8" s="67" customFormat="1" ht="12.75">
      <c r="A8" s="96" t="s">
        <v>3</v>
      </c>
      <c r="H8" s="95"/>
    </row>
    <row r="9" spans="1:8" s="67" customFormat="1" ht="12.75">
      <c r="A9" s="96"/>
      <c r="H9" s="95"/>
    </row>
    <row r="10" spans="1:8" s="67" customFormat="1" ht="12.75">
      <c r="A10" s="96"/>
      <c r="H10" s="95"/>
    </row>
    <row r="13" spans="1:9" s="67" customFormat="1" ht="12.7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</row>
    <row r="14" spans="1:9" s="67" customFormat="1" ht="12.75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</row>
    <row r="15" spans="1:9" s="67" customFormat="1" ht="12.75">
      <c r="A15" s="115" t="s">
        <v>121</v>
      </c>
      <c r="B15" s="115"/>
      <c r="C15" s="115"/>
      <c r="D15" s="115"/>
      <c r="E15" s="115"/>
      <c r="F15" s="115"/>
      <c r="G15" s="115"/>
      <c r="H15" s="115"/>
      <c r="I15" s="115"/>
    </row>
    <row r="17" spans="1:2" s="67" customFormat="1" ht="51">
      <c r="A17" s="68"/>
      <c r="B17" s="69" t="s">
        <v>33</v>
      </c>
    </row>
    <row r="18" spans="1:2" s="67" customFormat="1" ht="12.75">
      <c r="A18" s="70" t="s">
        <v>120</v>
      </c>
      <c r="B18" s="60">
        <v>0</v>
      </c>
    </row>
    <row r="19" spans="1:2" s="67" customFormat="1" ht="25.5">
      <c r="A19" s="61" t="s">
        <v>24</v>
      </c>
      <c r="B19" s="60">
        <v>291900</v>
      </c>
    </row>
    <row r="20" spans="1:2" s="67" customFormat="1" ht="25.5">
      <c r="A20" s="61" t="s">
        <v>25</v>
      </c>
      <c r="B20" s="60">
        <v>30941.4</v>
      </c>
    </row>
    <row r="21" spans="1:2" s="67" customFormat="1" ht="25.5">
      <c r="A21" s="61" t="s">
        <v>26</v>
      </c>
      <c r="B21" s="60">
        <v>155291</v>
      </c>
    </row>
    <row r="22" spans="1:2" s="67" customFormat="1" ht="12.75">
      <c r="A22" s="61" t="s">
        <v>27</v>
      </c>
      <c r="B22" s="60">
        <v>105084</v>
      </c>
    </row>
    <row r="23" spans="1:2" s="67" customFormat="1" ht="12.75">
      <c r="A23" s="62" t="s">
        <v>35</v>
      </c>
      <c r="B23" s="60">
        <f>(B19+B20+B21+B22)*10%</f>
        <v>58321.64000000001</v>
      </c>
    </row>
    <row r="24" spans="1:2" s="67" customFormat="1" ht="12.75">
      <c r="A24" s="71" t="s">
        <v>28</v>
      </c>
      <c r="B24" s="72">
        <f>B18+B19+B20+B21+B22-B23</f>
        <v>524894.76</v>
      </c>
    </row>
    <row r="25" spans="1:2" s="67" customFormat="1" ht="12.75">
      <c r="A25" s="61" t="s">
        <v>29</v>
      </c>
      <c r="B25" s="82">
        <v>5</v>
      </c>
    </row>
    <row r="26" spans="1:2" s="67" customFormat="1" ht="25.5">
      <c r="A26" s="61" t="s">
        <v>30</v>
      </c>
      <c r="B26" s="82">
        <v>0.53</v>
      </c>
    </row>
    <row r="27" spans="1:2" s="67" customFormat="1" ht="25.5">
      <c r="A27" s="61" t="s">
        <v>31</v>
      </c>
      <c r="B27" s="82">
        <v>2.66</v>
      </c>
    </row>
    <row r="28" spans="1:2" s="67" customFormat="1" ht="12.75">
      <c r="A28" s="70" t="s">
        <v>6</v>
      </c>
      <c r="B28" s="82">
        <v>1.8</v>
      </c>
    </row>
    <row r="29" spans="1:2" s="67" customFormat="1" ht="12.75">
      <c r="A29" s="73"/>
      <c r="B29" s="74"/>
    </row>
    <row r="30" spans="1:9" s="67" customFormat="1" ht="27" customHeight="1">
      <c r="A30" s="116" t="s">
        <v>7</v>
      </c>
      <c r="B30" s="117" t="s">
        <v>8</v>
      </c>
      <c r="C30" s="116" t="s">
        <v>9</v>
      </c>
      <c r="D30" s="117" t="s">
        <v>10</v>
      </c>
      <c r="E30" s="118" t="s">
        <v>11</v>
      </c>
      <c r="F30" s="119"/>
      <c r="G30" s="119"/>
      <c r="H30" s="120"/>
      <c r="I30" s="116" t="s">
        <v>12</v>
      </c>
    </row>
    <row r="31" spans="1:9" s="67" customFormat="1" ht="12.75">
      <c r="A31" s="117"/>
      <c r="B31" s="117"/>
      <c r="C31" s="117"/>
      <c r="D31" s="117"/>
      <c r="E31" s="76" t="s">
        <v>13</v>
      </c>
      <c r="F31" s="77" t="s">
        <v>14</v>
      </c>
      <c r="G31" s="77" t="s">
        <v>15</v>
      </c>
      <c r="H31" s="77" t="s">
        <v>16</v>
      </c>
      <c r="I31" s="117"/>
    </row>
    <row r="32" spans="1:9" s="67" customFormat="1" ht="12.75">
      <c r="A32" s="78" t="s">
        <v>36</v>
      </c>
      <c r="B32" s="75"/>
      <c r="C32" s="75"/>
      <c r="D32" s="75"/>
      <c r="E32" s="76"/>
      <c r="F32" s="77"/>
      <c r="G32" s="77"/>
      <c r="H32" s="77"/>
      <c r="I32" s="75"/>
    </row>
    <row r="33" spans="1:9" s="67" customFormat="1" ht="12.75">
      <c r="A33" s="79" t="s">
        <v>37</v>
      </c>
      <c r="B33" s="80"/>
      <c r="C33" s="97"/>
      <c r="D33" s="76"/>
      <c r="E33" s="60">
        <v>2719</v>
      </c>
      <c r="F33" s="60">
        <v>6000</v>
      </c>
      <c r="G33" s="60">
        <v>6000</v>
      </c>
      <c r="H33" s="60">
        <v>6000</v>
      </c>
      <c r="I33" s="60">
        <f aca="true" t="shared" si="0" ref="I33:I43">SUM(E33:H33)</f>
        <v>20719</v>
      </c>
    </row>
    <row r="34" spans="1:9" s="67" customFormat="1" ht="25.5">
      <c r="A34" s="81" t="s">
        <v>38</v>
      </c>
      <c r="B34" s="80" t="s">
        <v>17</v>
      </c>
      <c r="C34" s="97">
        <v>0.42</v>
      </c>
      <c r="D34" s="88">
        <v>5838</v>
      </c>
      <c r="E34" s="60">
        <f>$C$34*$D$34*1</f>
        <v>2451.96</v>
      </c>
      <c r="F34" s="60">
        <f>$C$34*$D$34*3</f>
        <v>7355.88</v>
      </c>
      <c r="G34" s="60">
        <f>$C$34*$D$34*3</f>
        <v>7355.88</v>
      </c>
      <c r="H34" s="60">
        <f>$C$34*$D$34*3</f>
        <v>7355.88</v>
      </c>
      <c r="I34" s="60">
        <f t="shared" si="0"/>
        <v>24519.600000000002</v>
      </c>
    </row>
    <row r="35" spans="1:9" s="67" customFormat="1" ht="25.5">
      <c r="A35" s="81" t="s">
        <v>39</v>
      </c>
      <c r="B35" s="80" t="s">
        <v>17</v>
      </c>
      <c r="C35" s="97">
        <v>0.71</v>
      </c>
      <c r="D35" s="88">
        <v>5838</v>
      </c>
      <c r="E35" s="60">
        <f>$C$35*$D$35*1</f>
        <v>4144.98</v>
      </c>
      <c r="F35" s="60">
        <f>$C$35*$D$35*3</f>
        <v>12434.939999999999</v>
      </c>
      <c r="G35" s="60">
        <f>$C$35*$D$35*3</f>
        <v>12434.939999999999</v>
      </c>
      <c r="H35" s="60">
        <f>$C$35*$D$35*3</f>
        <v>12434.939999999999</v>
      </c>
      <c r="I35" s="60">
        <f t="shared" si="0"/>
        <v>41449.799999999996</v>
      </c>
    </row>
    <row r="36" spans="1:9" s="67" customFormat="1" ht="25.5">
      <c r="A36" s="79" t="s">
        <v>40</v>
      </c>
      <c r="B36" s="80" t="s">
        <v>17</v>
      </c>
      <c r="C36" s="97">
        <v>0.25</v>
      </c>
      <c r="D36" s="88">
        <v>5838</v>
      </c>
      <c r="E36" s="60">
        <f>$C$36*$D$36*1</f>
        <v>1459.5</v>
      </c>
      <c r="F36" s="60">
        <f>$C$36*$D$36*3</f>
        <v>4378.5</v>
      </c>
      <c r="G36" s="60">
        <f>$C$36*$D$36*3</f>
        <v>4378.5</v>
      </c>
      <c r="H36" s="60">
        <f>$C$36*$D$36*3</f>
        <v>4378.5</v>
      </c>
      <c r="I36" s="60">
        <f t="shared" si="0"/>
        <v>14595</v>
      </c>
    </row>
    <row r="37" spans="1:9" s="67" customFormat="1" ht="25.5">
      <c r="A37" s="81" t="s">
        <v>41</v>
      </c>
      <c r="B37" s="80" t="s">
        <v>17</v>
      </c>
      <c r="C37" s="98">
        <v>0.3</v>
      </c>
      <c r="D37" s="88">
        <v>5838</v>
      </c>
      <c r="E37" s="60">
        <f>$C$37*$D$37*1</f>
        <v>1751.3999999999999</v>
      </c>
      <c r="F37" s="60">
        <f>$C$37*$D$37*3</f>
        <v>5254.2</v>
      </c>
      <c r="G37" s="60">
        <f>$C$37*$D$37*3</f>
        <v>5254.2</v>
      </c>
      <c r="H37" s="60">
        <f>$C$37*$D$37*3</f>
        <v>5254.2</v>
      </c>
      <c r="I37" s="60">
        <f t="shared" si="0"/>
        <v>17514</v>
      </c>
    </row>
    <row r="38" spans="1:9" s="67" customFormat="1" ht="25.5">
      <c r="A38" s="83" t="s">
        <v>42</v>
      </c>
      <c r="B38" s="76"/>
      <c r="C38" s="76"/>
      <c r="D38" s="76"/>
      <c r="E38" s="60">
        <v>2000</v>
      </c>
      <c r="F38" s="60">
        <v>6000</v>
      </c>
      <c r="G38" s="60">
        <v>6000</v>
      </c>
      <c r="H38" s="60">
        <v>6000</v>
      </c>
      <c r="I38" s="60">
        <f t="shared" si="0"/>
        <v>20000</v>
      </c>
    </row>
    <row r="39" spans="1:10" s="67" customFormat="1" ht="25.5">
      <c r="A39" s="84" t="s">
        <v>43</v>
      </c>
      <c r="B39" s="80" t="s">
        <v>17</v>
      </c>
      <c r="C39" s="97">
        <v>0.65</v>
      </c>
      <c r="D39" s="88">
        <v>5838</v>
      </c>
      <c r="E39" s="60">
        <f>$C$39*$D$39*1</f>
        <v>3794.7000000000003</v>
      </c>
      <c r="F39" s="60">
        <f>$C$39*$D$39*3</f>
        <v>11384.1</v>
      </c>
      <c r="G39" s="60">
        <f>$C$39*$D$39*3</f>
        <v>11384.1</v>
      </c>
      <c r="H39" s="60">
        <f>$C$39*$D$39*3</f>
        <v>11384.1</v>
      </c>
      <c r="I39" s="60">
        <f t="shared" si="0"/>
        <v>37947</v>
      </c>
      <c r="J39" s="99"/>
    </row>
    <row r="40" spans="1:9" s="67" customFormat="1" ht="25.5">
      <c r="A40" s="84" t="s">
        <v>44</v>
      </c>
      <c r="B40" s="80" t="s">
        <v>17</v>
      </c>
      <c r="C40" s="97">
        <v>0.55</v>
      </c>
      <c r="D40" s="88">
        <v>5838</v>
      </c>
      <c r="E40" s="60">
        <f>$C$40*$D$40*1</f>
        <v>3210.9</v>
      </c>
      <c r="F40" s="60">
        <f>$C$40*$D$40*3</f>
        <v>9632.7</v>
      </c>
      <c r="G40" s="60">
        <f>$C$40*$D$40*3</f>
        <v>9632.7</v>
      </c>
      <c r="H40" s="60">
        <f>$C$40*$D$40*3</f>
        <v>9632.7</v>
      </c>
      <c r="I40" s="60">
        <f t="shared" si="0"/>
        <v>32109.000000000004</v>
      </c>
    </row>
    <row r="41" spans="1:9" s="67" customFormat="1" ht="12.75">
      <c r="A41" s="79" t="s">
        <v>45</v>
      </c>
      <c r="B41" s="76" t="s">
        <v>18</v>
      </c>
      <c r="C41" s="76">
        <v>100</v>
      </c>
      <c r="D41" s="76">
        <v>3</v>
      </c>
      <c r="E41" s="60">
        <f>$C$41*$D$41*1</f>
        <v>300</v>
      </c>
      <c r="F41" s="60">
        <f>$C$41*$D$41*3</f>
        <v>900</v>
      </c>
      <c r="G41" s="60">
        <f>$C$41*$D$41*3</f>
        <v>900</v>
      </c>
      <c r="H41" s="60">
        <f>$C$41*$D$41*3</f>
        <v>900</v>
      </c>
      <c r="I41" s="60">
        <f t="shared" si="0"/>
        <v>3000</v>
      </c>
    </row>
    <row r="42" spans="1:9" s="67" customFormat="1" ht="25.5">
      <c r="A42" s="84" t="s">
        <v>46</v>
      </c>
      <c r="B42" s="76"/>
      <c r="C42" s="76"/>
      <c r="D42" s="76"/>
      <c r="E42" s="60">
        <v>3000</v>
      </c>
      <c r="F42" s="60">
        <v>6000</v>
      </c>
      <c r="G42" s="60">
        <v>6000</v>
      </c>
      <c r="H42" s="60">
        <v>6000</v>
      </c>
      <c r="I42" s="60">
        <f t="shared" si="0"/>
        <v>21000</v>
      </c>
    </row>
    <row r="43" spans="1:9" s="67" customFormat="1" ht="12.75">
      <c r="A43" s="79" t="s">
        <v>47</v>
      </c>
      <c r="B43" s="77" t="s">
        <v>19</v>
      </c>
      <c r="C43" s="76">
        <v>1</v>
      </c>
      <c r="D43" s="85">
        <v>770</v>
      </c>
      <c r="E43" s="60"/>
      <c r="F43" s="60">
        <f>C43*D43/2</f>
        <v>385</v>
      </c>
      <c r="G43" s="60"/>
      <c r="H43" s="60">
        <f>C43/2*D43</f>
        <v>385</v>
      </c>
      <c r="I43" s="60">
        <f t="shared" si="0"/>
        <v>770</v>
      </c>
    </row>
    <row r="44" spans="1:9" s="67" customFormat="1" ht="12.75">
      <c r="A44" s="86" t="s">
        <v>48</v>
      </c>
      <c r="B44" s="77"/>
      <c r="C44" s="76"/>
      <c r="D44" s="85"/>
      <c r="E44" s="60"/>
      <c r="F44" s="60"/>
      <c r="G44" s="60"/>
      <c r="H44" s="60"/>
      <c r="I44" s="60"/>
    </row>
    <row r="45" spans="1:9" s="67" customFormat="1" ht="25.5">
      <c r="A45" s="79" t="s">
        <v>49</v>
      </c>
      <c r="B45" s="80" t="s">
        <v>17</v>
      </c>
      <c r="C45" s="76">
        <v>0.48</v>
      </c>
      <c r="D45" s="88">
        <v>5838</v>
      </c>
      <c r="E45" s="60">
        <f>$C$45*$D$45*1</f>
        <v>2802.24</v>
      </c>
      <c r="F45" s="60">
        <f>$C$45*$D$45*3</f>
        <v>8406.72</v>
      </c>
      <c r="G45" s="60">
        <f>$C$45*$D$45*3</f>
        <v>8406.72</v>
      </c>
      <c r="H45" s="60">
        <f>$C$45*$D$45*3</f>
        <v>8406.72</v>
      </c>
      <c r="I45" s="60">
        <f>SUM(E45:H45)</f>
        <v>28022.4</v>
      </c>
    </row>
    <row r="46" spans="1:9" s="67" customFormat="1" ht="12.75">
      <c r="A46" s="86" t="s">
        <v>50</v>
      </c>
      <c r="B46" s="77"/>
      <c r="C46" s="76"/>
      <c r="D46" s="85"/>
      <c r="E46" s="60"/>
      <c r="F46" s="60"/>
      <c r="G46" s="60"/>
      <c r="H46" s="60"/>
      <c r="I46" s="60"/>
    </row>
    <row r="47" spans="1:9" s="67" customFormat="1" ht="12.75">
      <c r="A47" s="79" t="s">
        <v>51</v>
      </c>
      <c r="B47" s="80" t="s">
        <v>18</v>
      </c>
      <c r="C47" s="76">
        <v>4650</v>
      </c>
      <c r="D47" s="85">
        <v>3</v>
      </c>
      <c r="E47" s="60">
        <f>$C$47*$D$47*1</f>
        <v>13950</v>
      </c>
      <c r="F47" s="60">
        <f>$C$47*$D$47*3</f>
        <v>41850</v>
      </c>
      <c r="G47" s="60">
        <f>$C$47*$D$47*3</f>
        <v>41850</v>
      </c>
      <c r="H47" s="60">
        <f>$C$47*$D$47*3</f>
        <v>41850</v>
      </c>
      <c r="I47" s="60">
        <f>SUM(E47:H47)</f>
        <v>139500</v>
      </c>
    </row>
    <row r="48" spans="1:9" s="67" customFormat="1" ht="12.75">
      <c r="A48" s="86" t="s">
        <v>52</v>
      </c>
      <c r="B48" s="77"/>
      <c r="C48" s="76"/>
      <c r="D48" s="85"/>
      <c r="E48" s="60"/>
      <c r="F48" s="60"/>
      <c r="G48" s="60"/>
      <c r="H48" s="60"/>
      <c r="I48" s="60"/>
    </row>
    <row r="49" spans="1:9" s="67" customFormat="1" ht="25.5">
      <c r="A49" s="79" t="s">
        <v>53</v>
      </c>
      <c r="B49" s="80" t="s">
        <v>17</v>
      </c>
      <c r="C49" s="76">
        <v>1.62</v>
      </c>
      <c r="D49" s="88">
        <v>5838</v>
      </c>
      <c r="E49" s="60">
        <f>$C$49*$D$49*1</f>
        <v>9457.560000000001</v>
      </c>
      <c r="F49" s="60">
        <f>$C$49*$D$49*3</f>
        <v>28372.680000000004</v>
      </c>
      <c r="G49" s="60">
        <f>$C$49*$D$49*3</f>
        <v>28372.680000000004</v>
      </c>
      <c r="H49" s="60">
        <f>$C$49*$D$49*3</f>
        <v>28372.680000000004</v>
      </c>
      <c r="I49" s="60">
        <f>SUM(E49:H49)</f>
        <v>94575.60000000002</v>
      </c>
    </row>
    <row r="50" spans="1:9" s="67" customFormat="1" ht="12.75">
      <c r="A50" s="89" t="s">
        <v>54</v>
      </c>
      <c r="B50" s="77"/>
      <c r="C50" s="76"/>
      <c r="D50" s="85"/>
      <c r="E50" s="60"/>
      <c r="F50" s="60"/>
      <c r="G50" s="60"/>
      <c r="H50" s="60"/>
      <c r="I50" s="60"/>
    </row>
    <row r="51" spans="1:9" s="67" customFormat="1" ht="25.5">
      <c r="A51" s="84" t="s">
        <v>57</v>
      </c>
      <c r="B51" s="77"/>
      <c r="C51" s="76"/>
      <c r="D51" s="85"/>
      <c r="E51" s="60">
        <v>2487</v>
      </c>
      <c r="F51" s="60">
        <v>7465</v>
      </c>
      <c r="G51" s="60">
        <v>7465</v>
      </c>
      <c r="H51" s="60">
        <v>7465</v>
      </c>
      <c r="I51" s="60">
        <f>SUM(E51:H51)</f>
        <v>24882</v>
      </c>
    </row>
    <row r="52" spans="1:9" s="67" customFormat="1" ht="12.75">
      <c r="A52" s="87" t="s">
        <v>55</v>
      </c>
      <c r="B52" s="80" t="s">
        <v>56</v>
      </c>
      <c r="C52" s="98">
        <f>3+0.936768</f>
        <v>3.936768</v>
      </c>
      <c r="D52" s="90">
        <v>109</v>
      </c>
      <c r="E52" s="60">
        <f>$C$52*$D$52*1</f>
        <v>429.107712</v>
      </c>
      <c r="F52" s="60">
        <f>$C$52*$D$52*3</f>
        <v>1287.323136</v>
      </c>
      <c r="G52" s="60">
        <f>$C$52*$D$52*3</f>
        <v>1287.323136</v>
      </c>
      <c r="H52" s="60">
        <f>$C$52*$D$52*3</f>
        <v>1287.323136</v>
      </c>
      <c r="I52" s="60">
        <f>SUM(E52:H52)</f>
        <v>4291.07712</v>
      </c>
    </row>
    <row r="53" spans="1:9" s="67" customFormat="1" ht="12.75">
      <c r="A53" s="91" t="s">
        <v>20</v>
      </c>
      <c r="B53" s="92"/>
      <c r="C53" s="100"/>
      <c r="D53" s="92"/>
      <c r="E53" s="72">
        <f>SUM(E33:E52)</f>
        <v>53958.347712</v>
      </c>
      <c r="F53" s="72">
        <f>SUM(F33:F52)</f>
        <v>157107.043136</v>
      </c>
      <c r="G53" s="72">
        <f>SUM(G33:G52)</f>
        <v>156722.043136</v>
      </c>
      <c r="H53" s="72">
        <f>SUM(H33:H52)</f>
        <v>157107.043136</v>
      </c>
      <c r="I53" s="72">
        <f>SUM(I33:I52)</f>
        <v>524894.47712</v>
      </c>
    </row>
    <row r="54" spans="1:9" s="67" customFormat="1" ht="12.75">
      <c r="A54" s="62" t="s">
        <v>35</v>
      </c>
      <c r="B54" s="68"/>
      <c r="C54" s="101"/>
      <c r="D54" s="68"/>
      <c r="E54" s="60">
        <v>5831</v>
      </c>
      <c r="F54" s="60">
        <v>17497</v>
      </c>
      <c r="G54" s="60">
        <v>17497</v>
      </c>
      <c r="H54" s="60">
        <v>17497</v>
      </c>
      <c r="I54" s="60">
        <f>SUM(E54:H54)</f>
        <v>58322</v>
      </c>
    </row>
    <row r="55" spans="1:9" s="67" customFormat="1" ht="12.75">
      <c r="A55" s="93" t="s">
        <v>21</v>
      </c>
      <c r="B55" s="68"/>
      <c r="C55" s="101"/>
      <c r="D55" s="68"/>
      <c r="E55" s="94">
        <f>SUM(E53:E54)</f>
        <v>59789.347712</v>
      </c>
      <c r="F55" s="94">
        <f>SUM(F53:F54)</f>
        <v>174604.043136</v>
      </c>
      <c r="G55" s="94">
        <f>SUM(G53:G54)</f>
        <v>174219.043136</v>
      </c>
      <c r="H55" s="94">
        <f>SUM(H53:H54)</f>
        <v>174604.043136</v>
      </c>
      <c r="I55" s="94">
        <f>SUM(I53:I54)</f>
        <v>583216.47712</v>
      </c>
    </row>
    <row r="56" spans="1:9" ht="12.75">
      <c r="A56" s="105" t="s">
        <v>22</v>
      </c>
      <c r="B56" s="105"/>
      <c r="C56" s="105"/>
      <c r="D56" s="105"/>
      <c r="E56" s="105"/>
      <c r="F56" s="105"/>
      <c r="G56" s="105"/>
      <c r="H56" s="105"/>
      <c r="I56" s="106">
        <f>B24-I53</f>
        <v>0.28287999995518476</v>
      </c>
    </row>
    <row r="58" spans="1:5" ht="12.75">
      <c r="A58" s="103"/>
      <c r="E58" s="104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1">
      <selection activeCell="A18" sqref="A18"/>
    </sheetView>
  </sheetViews>
  <sheetFormatPr defaultColWidth="9.140625" defaultRowHeight="12.75"/>
  <cols>
    <col min="1" max="1" width="51.28125" style="102" customWidth="1"/>
    <col min="2" max="2" width="11.421875" style="102" customWidth="1"/>
    <col min="3" max="8" width="8.57421875" style="102" customWidth="1"/>
    <col min="9" max="9" width="8.8515625" style="102" customWidth="1"/>
    <col min="10" max="16384" width="9.140625" style="102" customWidth="1"/>
  </cols>
  <sheetData>
    <row r="1" spans="1:6" s="63" customFormat="1" ht="12.75">
      <c r="A1" s="63" t="s">
        <v>0</v>
      </c>
      <c r="F1" s="63" t="s">
        <v>0</v>
      </c>
    </row>
    <row r="2" s="63" customFormat="1" ht="12.75">
      <c r="H2" s="65"/>
    </row>
    <row r="3" spans="1:6" s="63" customFormat="1" ht="12.75">
      <c r="A3" s="66" t="s">
        <v>1</v>
      </c>
      <c r="F3" s="64" t="s">
        <v>2</v>
      </c>
    </row>
    <row r="4" s="63" customFormat="1" ht="12.75">
      <c r="H4" s="65"/>
    </row>
    <row r="6" spans="1:8" s="63" customFormat="1" ht="12.75">
      <c r="A6" s="66" t="s">
        <v>3</v>
      </c>
      <c r="F6" s="63" t="s">
        <v>34</v>
      </c>
      <c r="H6" s="65"/>
    </row>
    <row r="7" spans="1:8" s="67" customFormat="1" ht="12.75">
      <c r="A7" s="66"/>
      <c r="B7" s="63"/>
      <c r="C7" s="63"/>
      <c r="D7" s="63"/>
      <c r="E7" s="63"/>
      <c r="F7" s="63"/>
      <c r="G7" s="5"/>
      <c r="H7" s="95"/>
    </row>
    <row r="8" spans="1:8" s="67" customFormat="1" ht="12.75">
      <c r="A8" s="96" t="s">
        <v>3</v>
      </c>
      <c r="H8" s="95"/>
    </row>
    <row r="9" spans="1:8" s="67" customFormat="1" ht="12.75">
      <c r="A9" s="96"/>
      <c r="H9" s="95"/>
    </row>
    <row r="10" spans="1:8" s="67" customFormat="1" ht="12.75">
      <c r="A10" s="96"/>
      <c r="H10" s="95"/>
    </row>
    <row r="13" spans="1:9" s="67" customFormat="1" ht="12.7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</row>
    <row r="14" spans="1:9" s="67" customFormat="1" ht="12.75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</row>
    <row r="15" spans="1:9" s="67" customFormat="1" ht="12.75">
      <c r="A15" s="115" t="s">
        <v>122</v>
      </c>
      <c r="B15" s="115"/>
      <c r="C15" s="115"/>
      <c r="D15" s="115"/>
      <c r="E15" s="115"/>
      <c r="F15" s="115"/>
      <c r="G15" s="115"/>
      <c r="H15" s="115"/>
      <c r="I15" s="115"/>
    </row>
    <row r="17" spans="1:2" s="67" customFormat="1" ht="51">
      <c r="A17" s="68"/>
      <c r="B17" s="69" t="s">
        <v>33</v>
      </c>
    </row>
    <row r="18" spans="1:2" s="67" customFormat="1" ht="12.75">
      <c r="A18" s="70" t="s">
        <v>120</v>
      </c>
      <c r="B18" s="60">
        <v>0</v>
      </c>
    </row>
    <row r="19" spans="1:2" s="67" customFormat="1" ht="25.5">
      <c r="A19" s="61" t="s">
        <v>24</v>
      </c>
      <c r="B19" s="60">
        <v>391698</v>
      </c>
    </row>
    <row r="20" spans="1:2" s="67" customFormat="1" ht="25.5">
      <c r="A20" s="61" t="s">
        <v>25</v>
      </c>
      <c r="B20" s="60">
        <v>35523</v>
      </c>
    </row>
    <row r="21" spans="1:2" s="67" customFormat="1" ht="12.75">
      <c r="A21" s="61" t="s">
        <v>27</v>
      </c>
      <c r="B21" s="60">
        <v>108108</v>
      </c>
    </row>
    <row r="22" spans="1:2" s="67" customFormat="1" ht="12.75">
      <c r="A22" s="62" t="s">
        <v>35</v>
      </c>
      <c r="B22" s="60">
        <f>(B19++B20+B21)*10%</f>
        <v>53532.9</v>
      </c>
    </row>
    <row r="23" spans="1:2" s="67" customFormat="1" ht="12.75">
      <c r="A23" s="71" t="s">
        <v>28</v>
      </c>
      <c r="B23" s="72">
        <f>B18+B20+B19+B21-B22</f>
        <v>481796.1</v>
      </c>
    </row>
    <row r="24" spans="1:2" s="67" customFormat="1" ht="12.75">
      <c r="A24" s="61" t="s">
        <v>29</v>
      </c>
      <c r="B24" s="82">
        <v>6</v>
      </c>
    </row>
    <row r="25" spans="1:2" s="67" customFormat="1" ht="25.5">
      <c r="A25" s="61" t="s">
        <v>30</v>
      </c>
      <c r="B25" s="82">
        <v>0.53</v>
      </c>
    </row>
    <row r="26" spans="1:2" s="67" customFormat="1" ht="12.75">
      <c r="A26" s="70" t="s">
        <v>6</v>
      </c>
      <c r="B26" s="82">
        <v>1.8</v>
      </c>
    </row>
    <row r="27" spans="1:2" s="67" customFormat="1" ht="12.75">
      <c r="A27" s="73"/>
      <c r="B27" s="74"/>
    </row>
    <row r="28" spans="1:9" s="67" customFormat="1" ht="27" customHeight="1">
      <c r="A28" s="116" t="s">
        <v>7</v>
      </c>
      <c r="B28" s="117" t="s">
        <v>8</v>
      </c>
      <c r="C28" s="116" t="s">
        <v>9</v>
      </c>
      <c r="D28" s="117" t="s">
        <v>10</v>
      </c>
      <c r="E28" s="118" t="s">
        <v>11</v>
      </c>
      <c r="F28" s="119"/>
      <c r="G28" s="119"/>
      <c r="H28" s="120"/>
      <c r="I28" s="116" t="s">
        <v>12</v>
      </c>
    </row>
    <row r="29" spans="1:9" s="67" customFormat="1" ht="12.75">
      <c r="A29" s="117"/>
      <c r="B29" s="117"/>
      <c r="C29" s="117"/>
      <c r="D29" s="117"/>
      <c r="E29" s="76" t="s">
        <v>13</v>
      </c>
      <c r="F29" s="77" t="s">
        <v>14</v>
      </c>
      <c r="G29" s="77" t="s">
        <v>15</v>
      </c>
      <c r="H29" s="77" t="s">
        <v>16</v>
      </c>
      <c r="I29" s="117"/>
    </row>
    <row r="30" spans="1:9" s="67" customFormat="1" ht="12.75">
      <c r="A30" s="78" t="s">
        <v>36</v>
      </c>
      <c r="B30" s="75"/>
      <c r="C30" s="75"/>
      <c r="D30" s="75"/>
      <c r="E30" s="76"/>
      <c r="F30" s="77"/>
      <c r="G30" s="77"/>
      <c r="H30" s="77"/>
      <c r="I30" s="75"/>
    </row>
    <row r="31" spans="1:9" s="67" customFormat="1" ht="12.75">
      <c r="A31" s="79" t="s">
        <v>37</v>
      </c>
      <c r="B31" s="80"/>
      <c r="C31" s="97"/>
      <c r="D31" s="76"/>
      <c r="E31" s="60">
        <v>5000</v>
      </c>
      <c r="F31" s="60">
        <v>5000</v>
      </c>
      <c r="G31" s="60">
        <v>5000</v>
      </c>
      <c r="H31" s="60">
        <v>5000</v>
      </c>
      <c r="I31" s="60">
        <f aca="true" t="shared" si="0" ref="I31:I40">SUM(E31:H31)</f>
        <v>20000</v>
      </c>
    </row>
    <row r="32" spans="1:9" s="67" customFormat="1" ht="25.5">
      <c r="A32" s="81" t="s">
        <v>38</v>
      </c>
      <c r="B32" s="80" t="s">
        <v>17</v>
      </c>
      <c r="C32" s="97">
        <v>0.52</v>
      </c>
      <c r="D32" s="88">
        <f>6006+696.4</f>
        <v>6702.4</v>
      </c>
      <c r="E32" s="60">
        <f>$C$32*$D$32*1</f>
        <v>3485.248</v>
      </c>
      <c r="F32" s="60">
        <f>$C$32*$D$32*3</f>
        <v>10455.744</v>
      </c>
      <c r="G32" s="60">
        <f>$C$32*$D$32*3</f>
        <v>10455.744</v>
      </c>
      <c r="H32" s="60">
        <f>$C$32*$D$32*3</f>
        <v>10455.744</v>
      </c>
      <c r="I32" s="60">
        <f t="shared" si="0"/>
        <v>34852.48</v>
      </c>
    </row>
    <row r="33" spans="1:9" s="67" customFormat="1" ht="25.5">
      <c r="A33" s="81" t="s">
        <v>39</v>
      </c>
      <c r="B33" s="80" t="s">
        <v>17</v>
      </c>
      <c r="C33" s="97">
        <v>0.87</v>
      </c>
      <c r="D33" s="88">
        <f>6006+696.4</f>
        <v>6702.4</v>
      </c>
      <c r="E33" s="60">
        <f>$C$33*$D$33*1</f>
        <v>5831.088</v>
      </c>
      <c r="F33" s="60">
        <f>$C$33*$D$33*3</f>
        <v>17493.264</v>
      </c>
      <c r="G33" s="60">
        <f>$C$33*$D$33*3</f>
        <v>17493.264</v>
      </c>
      <c r="H33" s="60">
        <f>$C$33*$D$33*3</f>
        <v>17493.264</v>
      </c>
      <c r="I33" s="60">
        <f t="shared" si="0"/>
        <v>58310.87999999999</v>
      </c>
    </row>
    <row r="34" spans="1:9" s="67" customFormat="1" ht="25.5">
      <c r="A34" s="79" t="s">
        <v>40</v>
      </c>
      <c r="B34" s="80" t="s">
        <v>17</v>
      </c>
      <c r="C34" s="97">
        <v>0.31</v>
      </c>
      <c r="D34" s="88">
        <f>6006+696.4</f>
        <v>6702.4</v>
      </c>
      <c r="E34" s="60">
        <f>$C$34*$D$34*1</f>
        <v>2077.7439999999997</v>
      </c>
      <c r="F34" s="60">
        <f>$C$34*$D$34*3</f>
        <v>6233.231999999999</v>
      </c>
      <c r="G34" s="60">
        <f>$C$34*$D$34*3</f>
        <v>6233.231999999999</v>
      </c>
      <c r="H34" s="60">
        <f>$C$34*$D$34*3</f>
        <v>6233.231999999999</v>
      </c>
      <c r="I34" s="60">
        <f t="shared" si="0"/>
        <v>20777.44</v>
      </c>
    </row>
    <row r="35" spans="1:9" s="67" customFormat="1" ht="25.5">
      <c r="A35" s="81" t="s">
        <v>41</v>
      </c>
      <c r="B35" s="80" t="s">
        <v>17</v>
      </c>
      <c r="C35" s="98">
        <v>0.3</v>
      </c>
      <c r="D35" s="88">
        <f>6006+696.4</f>
        <v>6702.4</v>
      </c>
      <c r="E35" s="60">
        <f>$C$35*$D$35*1</f>
        <v>2010.7199999999998</v>
      </c>
      <c r="F35" s="60">
        <f>$C$35*$D$35*3</f>
        <v>6032.16</v>
      </c>
      <c r="G35" s="60">
        <f>$C$35*$D$35*3</f>
        <v>6032.16</v>
      </c>
      <c r="H35" s="60">
        <f>$C$35*$D$35*3</f>
        <v>6032.16</v>
      </c>
      <c r="I35" s="60">
        <f t="shared" si="0"/>
        <v>20107.199999999997</v>
      </c>
    </row>
    <row r="36" spans="1:9" s="67" customFormat="1" ht="25.5">
      <c r="A36" s="83" t="s">
        <v>42</v>
      </c>
      <c r="B36" s="76"/>
      <c r="C36" s="76"/>
      <c r="D36" s="76"/>
      <c r="E36" s="60">
        <v>8020</v>
      </c>
      <c r="F36" s="60">
        <v>15000</v>
      </c>
      <c r="G36" s="60">
        <v>15000</v>
      </c>
      <c r="H36" s="60">
        <v>15000</v>
      </c>
      <c r="I36" s="60">
        <f t="shared" si="0"/>
        <v>53020</v>
      </c>
    </row>
    <row r="37" spans="1:10" s="67" customFormat="1" ht="25.5">
      <c r="A37" s="84" t="s">
        <v>43</v>
      </c>
      <c r="B37" s="80" t="s">
        <v>17</v>
      </c>
      <c r="C37" s="97">
        <v>0.95</v>
      </c>
      <c r="D37" s="88">
        <f>6006</f>
        <v>6006</v>
      </c>
      <c r="E37" s="60">
        <f>$C$37*$D$37*1</f>
        <v>5705.7</v>
      </c>
      <c r="F37" s="60">
        <f>$C$37*$D$37*3</f>
        <v>17117.1</v>
      </c>
      <c r="G37" s="60">
        <f>$C$37*$D$37*3</f>
        <v>17117.1</v>
      </c>
      <c r="H37" s="60">
        <f>$C$37*$D$37*3</f>
        <v>17117.1</v>
      </c>
      <c r="I37" s="60">
        <f t="shared" si="0"/>
        <v>57056.99999999999</v>
      </c>
      <c r="J37" s="99"/>
    </row>
    <row r="38" spans="1:9" s="67" customFormat="1" ht="25.5">
      <c r="A38" s="84" t="s">
        <v>44</v>
      </c>
      <c r="B38" s="80" t="s">
        <v>17</v>
      </c>
      <c r="C38" s="97">
        <v>0.55</v>
      </c>
      <c r="D38" s="88">
        <f>6006</f>
        <v>6006</v>
      </c>
      <c r="E38" s="60">
        <f>$C$38*$D$38*1</f>
        <v>3303.3</v>
      </c>
      <c r="F38" s="60">
        <f>$C$38*$D$38*3</f>
        <v>9909.900000000001</v>
      </c>
      <c r="G38" s="60">
        <f>$C$38*$D$38*3</f>
        <v>9909.900000000001</v>
      </c>
      <c r="H38" s="60">
        <f>$C$38*$D$38*3</f>
        <v>9909.900000000001</v>
      </c>
      <c r="I38" s="60">
        <f t="shared" si="0"/>
        <v>33033</v>
      </c>
    </row>
    <row r="39" spans="1:9" s="67" customFormat="1" ht="25.5">
      <c r="A39" s="84" t="s">
        <v>75</v>
      </c>
      <c r="B39" s="76"/>
      <c r="C39" s="76"/>
      <c r="D39" s="76"/>
      <c r="E39" s="60">
        <v>5000</v>
      </c>
      <c r="F39" s="60">
        <v>5000</v>
      </c>
      <c r="G39" s="60">
        <v>5000</v>
      </c>
      <c r="H39" s="60">
        <v>5000</v>
      </c>
      <c r="I39" s="60">
        <f t="shared" si="0"/>
        <v>20000</v>
      </c>
    </row>
    <row r="40" spans="1:9" s="67" customFormat="1" ht="12.75">
      <c r="A40" s="79" t="s">
        <v>76</v>
      </c>
      <c r="B40" s="77" t="s">
        <v>19</v>
      </c>
      <c r="C40" s="76">
        <v>1</v>
      </c>
      <c r="D40" s="85">
        <v>1000</v>
      </c>
      <c r="E40" s="60"/>
      <c r="F40" s="60">
        <f>C40*D40/2</f>
        <v>500</v>
      </c>
      <c r="G40" s="60"/>
      <c r="H40" s="60">
        <f>C40/2*D40</f>
        <v>500</v>
      </c>
      <c r="I40" s="60">
        <f t="shared" si="0"/>
        <v>1000</v>
      </c>
    </row>
    <row r="41" spans="1:9" s="67" customFormat="1" ht="12.75">
      <c r="A41" s="86" t="s">
        <v>48</v>
      </c>
      <c r="B41" s="77"/>
      <c r="C41" s="76"/>
      <c r="D41" s="88"/>
      <c r="E41" s="60"/>
      <c r="F41" s="60"/>
      <c r="G41" s="60"/>
      <c r="H41" s="60"/>
      <c r="I41" s="60"/>
    </row>
    <row r="42" spans="1:9" s="67" customFormat="1" ht="25.5">
      <c r="A42" s="79" t="s">
        <v>49</v>
      </c>
      <c r="B42" s="80" t="s">
        <v>17</v>
      </c>
      <c r="C42" s="76">
        <v>0.48</v>
      </c>
      <c r="D42" s="88">
        <f>6006+696.4</f>
        <v>6702.4</v>
      </c>
      <c r="E42" s="60">
        <f>$C$42*$D$42*1</f>
        <v>3217.1519999999996</v>
      </c>
      <c r="F42" s="60">
        <f>$C$42*$D$42*3</f>
        <v>9651.455999999998</v>
      </c>
      <c r="G42" s="60">
        <f>$C$42*$D$42*3</f>
        <v>9651.455999999998</v>
      </c>
      <c r="H42" s="60">
        <f>$C$42*$D$42*3</f>
        <v>9651.455999999998</v>
      </c>
      <c r="I42" s="60">
        <f>SUM(E42:H42)</f>
        <v>32171.519999999997</v>
      </c>
    </row>
    <row r="43" spans="1:9" s="67" customFormat="1" ht="12.75">
      <c r="A43" s="86" t="s">
        <v>77</v>
      </c>
      <c r="B43" s="77"/>
      <c r="C43" s="76"/>
      <c r="D43" s="85"/>
      <c r="E43" s="60"/>
      <c r="F43" s="60"/>
      <c r="G43" s="60"/>
      <c r="H43" s="60"/>
      <c r="I43" s="60"/>
    </row>
    <row r="44" spans="1:9" s="67" customFormat="1" ht="25.5">
      <c r="A44" s="79" t="s">
        <v>78</v>
      </c>
      <c r="B44" s="80" t="s">
        <v>17</v>
      </c>
      <c r="C44" s="76">
        <v>1.62</v>
      </c>
      <c r="D44" s="88">
        <f>6006</f>
        <v>6006</v>
      </c>
      <c r="E44" s="60">
        <f>$C$44*$D$44*1</f>
        <v>9729.720000000001</v>
      </c>
      <c r="F44" s="60">
        <f>$C$44*$D$44*3</f>
        <v>29189.160000000003</v>
      </c>
      <c r="G44" s="60">
        <f>$C$44*$D$44*3</f>
        <v>29189.160000000003</v>
      </c>
      <c r="H44" s="60">
        <f>$C$44*$D$44*3</f>
        <v>29189.160000000003</v>
      </c>
      <c r="I44" s="60">
        <f>SUM(E44:H44)</f>
        <v>97297.20000000001</v>
      </c>
    </row>
    <row r="45" spans="1:9" s="67" customFormat="1" ht="12.75">
      <c r="A45" s="89" t="s">
        <v>79</v>
      </c>
      <c r="B45" s="77"/>
      <c r="C45" s="76"/>
      <c r="D45" s="85"/>
      <c r="E45" s="60"/>
      <c r="F45" s="60"/>
      <c r="G45" s="60"/>
      <c r="H45" s="60"/>
      <c r="I45" s="60"/>
    </row>
    <row r="46" spans="1:9" s="67" customFormat="1" ht="25.5">
      <c r="A46" s="84" t="s">
        <v>80</v>
      </c>
      <c r="B46" s="77"/>
      <c r="C46" s="76"/>
      <c r="D46" s="85"/>
      <c r="E46" s="60">
        <v>2904</v>
      </c>
      <c r="F46" s="60">
        <v>8716</v>
      </c>
      <c r="G46" s="60">
        <v>8716</v>
      </c>
      <c r="H46" s="60">
        <v>8716</v>
      </c>
      <c r="I46" s="60">
        <f>SUM(E46:H46)</f>
        <v>29052</v>
      </c>
    </row>
    <row r="47" spans="1:9" s="67" customFormat="1" ht="12.75">
      <c r="A47" s="87" t="s">
        <v>81</v>
      </c>
      <c r="B47" s="80" t="s">
        <v>56</v>
      </c>
      <c r="C47" s="98">
        <f>3+0.936768</f>
        <v>3.936768</v>
      </c>
      <c r="D47" s="90">
        <v>130</v>
      </c>
      <c r="E47" s="60">
        <f>$C$47*$D$47*1</f>
        <v>511.77984</v>
      </c>
      <c r="F47" s="60">
        <f>$C$47*$D$47*3</f>
        <v>1535.33952</v>
      </c>
      <c r="G47" s="60">
        <f>$C$47*$D$47*3</f>
        <v>1535.33952</v>
      </c>
      <c r="H47" s="60">
        <f>$C$47*$D$47*3</f>
        <v>1535.33952</v>
      </c>
      <c r="I47" s="60">
        <f>SUM(E47:H47)</f>
        <v>5117.7984</v>
      </c>
    </row>
    <row r="48" spans="1:9" s="67" customFormat="1" ht="12.75">
      <c r="A48" s="91" t="s">
        <v>20</v>
      </c>
      <c r="B48" s="92"/>
      <c r="C48" s="100"/>
      <c r="D48" s="92"/>
      <c r="E48" s="72">
        <f>SUM(E31:E47)</f>
        <v>56796.45184000001</v>
      </c>
      <c r="F48" s="72">
        <f>SUM(F31:F47)</f>
        <v>141833.35552</v>
      </c>
      <c r="G48" s="72">
        <f>SUM(G31:G47)</f>
        <v>141333.35552</v>
      </c>
      <c r="H48" s="72">
        <f>SUM(H31:H47)</f>
        <v>141833.35552</v>
      </c>
      <c r="I48" s="72">
        <f>SUM(I31:I47)</f>
        <v>481796.51840000006</v>
      </c>
    </row>
    <row r="49" spans="1:9" s="67" customFormat="1" ht="12.75">
      <c r="A49" s="62" t="s">
        <v>35</v>
      </c>
      <c r="B49" s="68"/>
      <c r="C49" s="101"/>
      <c r="D49" s="68"/>
      <c r="E49" s="60">
        <v>5353</v>
      </c>
      <c r="F49" s="60">
        <v>16060</v>
      </c>
      <c r="G49" s="60">
        <v>16060</v>
      </c>
      <c r="H49" s="60">
        <v>16060</v>
      </c>
      <c r="I49" s="60">
        <f>SUM(E49:H49)</f>
        <v>53533</v>
      </c>
    </row>
    <row r="50" spans="1:9" s="67" customFormat="1" ht="12.75">
      <c r="A50" s="93" t="s">
        <v>21</v>
      </c>
      <c r="B50" s="68"/>
      <c r="C50" s="101"/>
      <c r="D50" s="68"/>
      <c r="E50" s="94">
        <f>SUM(E48:E49)</f>
        <v>62149.45184000001</v>
      </c>
      <c r="F50" s="94">
        <f>SUM(F48:F49)</f>
        <v>157893.35552</v>
      </c>
      <c r="G50" s="94">
        <f>SUM(G48:G49)</f>
        <v>157393.35552</v>
      </c>
      <c r="H50" s="94">
        <f>SUM(H48:H49)</f>
        <v>157893.35552</v>
      </c>
      <c r="I50" s="94">
        <f>SUM(I48:I49)</f>
        <v>535329.5184000001</v>
      </c>
    </row>
    <row r="51" spans="1:9" ht="12.75">
      <c r="A51" s="105" t="s">
        <v>22</v>
      </c>
      <c r="B51" s="105"/>
      <c r="C51" s="105"/>
      <c r="D51" s="105"/>
      <c r="E51" s="105"/>
      <c r="F51" s="105"/>
      <c r="G51" s="105"/>
      <c r="H51" s="105"/>
      <c r="I51" s="106">
        <f>B23-I48</f>
        <v>-0.4184000000823289</v>
      </c>
    </row>
    <row r="53" ht="12.75">
      <c r="E53" s="104"/>
    </row>
  </sheetData>
  <mergeCells count="9">
    <mergeCell ref="A13:I13"/>
    <mergeCell ref="A14:I14"/>
    <mergeCell ref="A15:I15"/>
    <mergeCell ref="A28:A29"/>
    <mergeCell ref="B28:B29"/>
    <mergeCell ref="C28:C29"/>
    <mergeCell ref="D28:D29"/>
    <mergeCell ref="E28:H28"/>
    <mergeCell ref="I28:I2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G58" sqref="G58"/>
    </sheetView>
  </sheetViews>
  <sheetFormatPr defaultColWidth="9.140625" defaultRowHeight="12.75"/>
  <cols>
    <col min="1" max="1" width="51.28125" style="102" customWidth="1"/>
    <col min="2" max="2" width="11.421875" style="102" customWidth="1"/>
    <col min="3" max="9" width="8.57421875" style="102" customWidth="1"/>
    <col min="10" max="16384" width="9.140625" style="102" customWidth="1"/>
  </cols>
  <sheetData>
    <row r="1" spans="1:6" s="63" customFormat="1" ht="12.75">
      <c r="A1" s="63" t="s">
        <v>0</v>
      </c>
      <c r="F1" s="63" t="s">
        <v>0</v>
      </c>
    </row>
    <row r="2" s="63" customFormat="1" ht="12.75">
      <c r="H2" s="65"/>
    </row>
    <row r="3" spans="1:6" s="63" customFormat="1" ht="12.75">
      <c r="A3" s="66" t="s">
        <v>1</v>
      </c>
      <c r="F3" s="64" t="s">
        <v>2</v>
      </c>
    </row>
    <row r="4" s="63" customFormat="1" ht="12.75">
      <c r="H4" s="65"/>
    </row>
    <row r="6" spans="1:8" s="63" customFormat="1" ht="12.75">
      <c r="A6" s="66" t="s">
        <v>3</v>
      </c>
      <c r="F6" s="63" t="s">
        <v>34</v>
      </c>
      <c r="H6" s="65"/>
    </row>
    <row r="7" spans="1:8" s="67" customFormat="1" ht="12.75">
      <c r="A7" s="66"/>
      <c r="B7" s="63"/>
      <c r="C7" s="63"/>
      <c r="D7" s="63"/>
      <c r="E7" s="63"/>
      <c r="F7" s="63"/>
      <c r="G7" s="5"/>
      <c r="H7" s="95"/>
    </row>
    <row r="8" spans="1:8" s="67" customFormat="1" ht="12.75">
      <c r="A8" s="96" t="s">
        <v>3</v>
      </c>
      <c r="H8" s="95"/>
    </row>
    <row r="9" spans="1:8" s="67" customFormat="1" ht="12.75">
      <c r="A9" s="96"/>
      <c r="H9" s="95"/>
    </row>
    <row r="10" spans="1:8" s="67" customFormat="1" ht="12.75">
      <c r="A10" s="96"/>
      <c r="H10" s="95"/>
    </row>
    <row r="13" spans="1:9" s="67" customFormat="1" ht="12.7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</row>
    <row r="14" spans="1:9" s="67" customFormat="1" ht="12.75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</row>
    <row r="15" spans="1:9" s="67" customFormat="1" ht="12.75">
      <c r="A15" s="115" t="s">
        <v>123</v>
      </c>
      <c r="B15" s="115"/>
      <c r="C15" s="115"/>
      <c r="D15" s="115"/>
      <c r="E15" s="115"/>
      <c r="F15" s="115"/>
      <c r="G15" s="115"/>
      <c r="H15" s="115"/>
      <c r="I15" s="115"/>
    </row>
    <row r="17" spans="1:2" s="67" customFormat="1" ht="51">
      <c r="A17" s="68"/>
      <c r="B17" s="69" t="s">
        <v>33</v>
      </c>
    </row>
    <row r="18" spans="1:2" s="67" customFormat="1" ht="12.75">
      <c r="A18" s="70" t="s">
        <v>120</v>
      </c>
      <c r="B18" s="60">
        <v>0</v>
      </c>
    </row>
    <row r="19" spans="1:2" s="67" customFormat="1" ht="25.5">
      <c r="A19" s="61" t="s">
        <v>24</v>
      </c>
      <c r="B19" s="60">
        <v>399030</v>
      </c>
    </row>
    <row r="20" spans="1:2" s="67" customFormat="1" ht="25.5">
      <c r="A20" s="61" t="s">
        <v>25</v>
      </c>
      <c r="B20" s="60">
        <v>42045</v>
      </c>
    </row>
    <row r="21" spans="1:2" s="67" customFormat="1" ht="25.5">
      <c r="A21" s="61" t="s">
        <v>26</v>
      </c>
      <c r="B21" s="60">
        <f>14914+192058</f>
        <v>206972</v>
      </c>
    </row>
    <row r="22" spans="1:2" s="67" customFormat="1" ht="12.75">
      <c r="A22" s="61" t="s">
        <v>27</v>
      </c>
      <c r="B22" s="60">
        <v>142794</v>
      </c>
    </row>
    <row r="23" spans="1:2" s="67" customFormat="1" ht="12.75">
      <c r="A23" s="62" t="s">
        <v>35</v>
      </c>
      <c r="B23" s="60">
        <f>(B19+B20+B21+B22)*10%</f>
        <v>79084.1</v>
      </c>
    </row>
    <row r="24" spans="1:2" s="67" customFormat="1" ht="12.75">
      <c r="A24" s="71" t="s">
        <v>28</v>
      </c>
      <c r="B24" s="72">
        <f>B18+B19+B20+B21+B22-B23</f>
        <v>711756.9</v>
      </c>
    </row>
    <row r="25" spans="1:2" s="67" customFormat="1" ht="12.75">
      <c r="A25" s="61" t="s">
        <v>29</v>
      </c>
      <c r="B25" s="82">
        <v>5.03</v>
      </c>
    </row>
    <row r="26" spans="1:2" s="67" customFormat="1" ht="25.5">
      <c r="A26" s="61" t="s">
        <v>30</v>
      </c>
      <c r="B26" s="82">
        <v>0.53</v>
      </c>
    </row>
    <row r="27" spans="1:2" s="67" customFormat="1" ht="25.5">
      <c r="A27" s="61" t="s">
        <v>31</v>
      </c>
      <c r="B27" s="82">
        <v>2.69</v>
      </c>
    </row>
    <row r="28" spans="1:2" s="67" customFormat="1" ht="12.75">
      <c r="A28" s="70" t="s">
        <v>6</v>
      </c>
      <c r="B28" s="82">
        <v>1.8</v>
      </c>
    </row>
    <row r="29" spans="1:2" s="67" customFormat="1" ht="12.75">
      <c r="A29" s="73"/>
      <c r="B29" s="74"/>
    </row>
    <row r="30" spans="1:9" s="67" customFormat="1" ht="27" customHeight="1">
      <c r="A30" s="116" t="s">
        <v>7</v>
      </c>
      <c r="B30" s="117" t="s">
        <v>8</v>
      </c>
      <c r="C30" s="116" t="s">
        <v>9</v>
      </c>
      <c r="D30" s="117" t="s">
        <v>10</v>
      </c>
      <c r="E30" s="118" t="s">
        <v>11</v>
      </c>
      <c r="F30" s="119"/>
      <c r="G30" s="119"/>
      <c r="H30" s="120"/>
      <c r="I30" s="116" t="s">
        <v>12</v>
      </c>
    </row>
    <row r="31" spans="1:9" s="67" customFormat="1" ht="12.75">
      <c r="A31" s="117"/>
      <c r="B31" s="117"/>
      <c r="C31" s="117"/>
      <c r="D31" s="117"/>
      <c r="E31" s="76" t="s">
        <v>13</v>
      </c>
      <c r="F31" s="77" t="s">
        <v>14</v>
      </c>
      <c r="G31" s="77" t="s">
        <v>15</v>
      </c>
      <c r="H31" s="77" t="s">
        <v>16</v>
      </c>
      <c r="I31" s="117"/>
    </row>
    <row r="32" spans="1:9" s="67" customFormat="1" ht="12.75">
      <c r="A32" s="78" t="s">
        <v>36</v>
      </c>
      <c r="B32" s="75"/>
      <c r="C32" s="75"/>
      <c r="D32" s="75"/>
      <c r="E32" s="76"/>
      <c r="F32" s="77"/>
      <c r="G32" s="77"/>
      <c r="H32" s="77"/>
      <c r="I32" s="75"/>
    </row>
    <row r="33" spans="1:9" s="67" customFormat="1" ht="12.75">
      <c r="A33" s="79" t="s">
        <v>37</v>
      </c>
      <c r="B33" s="80"/>
      <c r="C33" s="97"/>
      <c r="D33" s="76"/>
      <c r="E33" s="60">
        <v>3000</v>
      </c>
      <c r="F33" s="60">
        <v>4000</v>
      </c>
      <c r="G33" s="60">
        <v>4000</v>
      </c>
      <c r="H33" s="60">
        <v>4000</v>
      </c>
      <c r="I33" s="60">
        <f aca="true" t="shared" si="0" ref="I33:I43">SUM(E33:H33)</f>
        <v>15000</v>
      </c>
    </row>
    <row r="34" spans="1:9" s="67" customFormat="1" ht="25.5">
      <c r="A34" s="81" t="s">
        <v>38</v>
      </c>
      <c r="B34" s="80" t="s">
        <v>17</v>
      </c>
      <c r="C34" s="97">
        <v>0.42</v>
      </c>
      <c r="D34" s="88">
        <v>7933</v>
      </c>
      <c r="E34" s="60">
        <f>$C$34*$D$34*1</f>
        <v>3331.8599999999997</v>
      </c>
      <c r="F34" s="60">
        <f>$C$34*$D$34*3</f>
        <v>9995.579999999998</v>
      </c>
      <c r="G34" s="60">
        <f>$C$34*$D$34*3</f>
        <v>9995.579999999998</v>
      </c>
      <c r="H34" s="60">
        <f>$C$34*$D$34*3</f>
        <v>9995.579999999998</v>
      </c>
      <c r="I34" s="60">
        <f t="shared" si="0"/>
        <v>33318.59999999999</v>
      </c>
    </row>
    <row r="35" spans="1:9" s="67" customFormat="1" ht="25.5">
      <c r="A35" s="81" t="s">
        <v>39</v>
      </c>
      <c r="B35" s="80" t="s">
        <v>17</v>
      </c>
      <c r="C35" s="97">
        <v>0.71</v>
      </c>
      <c r="D35" s="88">
        <v>7933</v>
      </c>
      <c r="E35" s="60">
        <f>$C$35*$D$35*1</f>
        <v>5632.429999999999</v>
      </c>
      <c r="F35" s="60">
        <f>$C$35*$D$35*3</f>
        <v>16897.289999999997</v>
      </c>
      <c r="G35" s="60">
        <f>$C$35*$D$35*3</f>
        <v>16897.289999999997</v>
      </c>
      <c r="H35" s="60">
        <f>$C$35*$D$35*3</f>
        <v>16897.289999999997</v>
      </c>
      <c r="I35" s="60">
        <f t="shared" si="0"/>
        <v>56324.29999999999</v>
      </c>
    </row>
    <row r="36" spans="1:9" s="67" customFormat="1" ht="25.5">
      <c r="A36" s="79" t="s">
        <v>40</v>
      </c>
      <c r="B36" s="80" t="s">
        <v>17</v>
      </c>
      <c r="C36" s="97">
        <v>0.25</v>
      </c>
      <c r="D36" s="88">
        <v>7933</v>
      </c>
      <c r="E36" s="60">
        <f>$C$36*$D$36*1</f>
        <v>1983.25</v>
      </c>
      <c r="F36" s="60">
        <f>$C$36*$D$36*3</f>
        <v>5949.75</v>
      </c>
      <c r="G36" s="60">
        <f>$C$36*$D$36*3</f>
        <v>5949.75</v>
      </c>
      <c r="H36" s="60">
        <f>$C$36*$D$36*3</f>
        <v>5949.75</v>
      </c>
      <c r="I36" s="60">
        <f t="shared" si="0"/>
        <v>19832.5</v>
      </c>
    </row>
    <row r="37" spans="1:9" s="67" customFormat="1" ht="25.5">
      <c r="A37" s="81" t="s">
        <v>41</v>
      </c>
      <c r="B37" s="80" t="s">
        <v>17</v>
      </c>
      <c r="C37" s="98">
        <v>0.3</v>
      </c>
      <c r="D37" s="88">
        <v>7933</v>
      </c>
      <c r="E37" s="60">
        <f>$C$37*$D$37*1</f>
        <v>2379.9</v>
      </c>
      <c r="F37" s="60">
        <f>$C$37*$D$37*3</f>
        <v>7139.700000000001</v>
      </c>
      <c r="G37" s="60">
        <f>$C$37*$D$37*3</f>
        <v>7139.700000000001</v>
      </c>
      <c r="H37" s="60">
        <f>$C$37*$D$37*3</f>
        <v>7139.700000000001</v>
      </c>
      <c r="I37" s="60">
        <f>SUM(E37:H37)</f>
        <v>23799.000000000004</v>
      </c>
    </row>
    <row r="38" spans="1:9" s="67" customFormat="1" ht="25.5">
      <c r="A38" s="83" t="s">
        <v>42</v>
      </c>
      <c r="B38" s="76"/>
      <c r="C38" s="76"/>
      <c r="D38" s="76"/>
      <c r="E38" s="60">
        <v>5771</v>
      </c>
      <c r="F38" s="60">
        <v>15000</v>
      </c>
      <c r="G38" s="60">
        <v>15000</v>
      </c>
      <c r="H38" s="60">
        <v>15000</v>
      </c>
      <c r="I38" s="60">
        <f t="shared" si="0"/>
        <v>50771</v>
      </c>
    </row>
    <row r="39" spans="1:10" s="67" customFormat="1" ht="25.5">
      <c r="A39" s="84" t="s">
        <v>43</v>
      </c>
      <c r="B39" s="80" t="s">
        <v>17</v>
      </c>
      <c r="C39" s="97">
        <v>0.65</v>
      </c>
      <c r="D39" s="88">
        <v>7933</v>
      </c>
      <c r="E39" s="60">
        <f>$C$39*$D$39*1</f>
        <v>5156.45</v>
      </c>
      <c r="F39" s="60">
        <f>$C$39*$D$39*3</f>
        <v>15469.349999999999</v>
      </c>
      <c r="G39" s="60">
        <f>$C$39*$D$39*3</f>
        <v>15469.349999999999</v>
      </c>
      <c r="H39" s="60">
        <f>$C$39*$D$39*3</f>
        <v>15469.349999999999</v>
      </c>
      <c r="I39" s="60">
        <f t="shared" si="0"/>
        <v>51564.49999999999</v>
      </c>
      <c r="J39" s="99"/>
    </row>
    <row r="40" spans="1:9" s="67" customFormat="1" ht="25.5">
      <c r="A40" s="84" t="s">
        <v>44</v>
      </c>
      <c r="B40" s="80" t="s">
        <v>17</v>
      </c>
      <c r="C40" s="97">
        <v>0.55</v>
      </c>
      <c r="D40" s="88">
        <v>7933</v>
      </c>
      <c r="E40" s="60">
        <f>$C$40*$D$40*1</f>
        <v>4363.150000000001</v>
      </c>
      <c r="F40" s="60">
        <f>$C$40*$D$40*3</f>
        <v>13089.45</v>
      </c>
      <c r="G40" s="60">
        <f>$C$40*$D$40*3</f>
        <v>13089.45</v>
      </c>
      <c r="H40" s="60">
        <f>$C$40*$D$40*3</f>
        <v>13089.45</v>
      </c>
      <c r="I40" s="60">
        <f t="shared" si="0"/>
        <v>43631.5</v>
      </c>
    </row>
    <row r="41" spans="1:9" s="67" customFormat="1" ht="12.75">
      <c r="A41" s="79" t="s">
        <v>45</v>
      </c>
      <c r="B41" s="76" t="s">
        <v>18</v>
      </c>
      <c r="C41" s="76">
        <v>100</v>
      </c>
      <c r="D41" s="76">
        <v>4</v>
      </c>
      <c r="E41" s="60">
        <f>$C$41*$D$41*1</f>
        <v>400</v>
      </c>
      <c r="F41" s="60">
        <f>$C$41*$D$41*3</f>
        <v>1200</v>
      </c>
      <c r="G41" s="60">
        <f>$C$41*$D$41*3</f>
        <v>1200</v>
      </c>
      <c r="H41" s="60">
        <f>$C$41*$D$41*3</f>
        <v>1200</v>
      </c>
      <c r="I41" s="60">
        <f t="shared" si="0"/>
        <v>4000</v>
      </c>
    </row>
    <row r="42" spans="1:9" s="67" customFormat="1" ht="25.5">
      <c r="A42" s="84" t="s">
        <v>46</v>
      </c>
      <c r="B42" s="76"/>
      <c r="C42" s="76"/>
      <c r="D42" s="76"/>
      <c r="E42" s="60">
        <v>3000</v>
      </c>
      <c r="F42" s="60">
        <v>6000</v>
      </c>
      <c r="G42" s="60">
        <v>6000</v>
      </c>
      <c r="H42" s="60">
        <v>6000</v>
      </c>
      <c r="I42" s="60">
        <f t="shared" si="0"/>
        <v>21000</v>
      </c>
    </row>
    <row r="43" spans="1:9" s="67" customFormat="1" ht="12.75">
      <c r="A43" s="79" t="s">
        <v>47</v>
      </c>
      <c r="B43" s="77" t="s">
        <v>19</v>
      </c>
      <c r="C43" s="76">
        <v>1</v>
      </c>
      <c r="D43" s="85">
        <v>1000</v>
      </c>
      <c r="E43" s="60"/>
      <c r="F43" s="60">
        <f>C43*D43/2</f>
        <v>500</v>
      </c>
      <c r="G43" s="60"/>
      <c r="H43" s="60">
        <f>C43/2*D43</f>
        <v>500</v>
      </c>
      <c r="I43" s="60">
        <f t="shared" si="0"/>
        <v>1000</v>
      </c>
    </row>
    <row r="44" spans="1:9" s="67" customFormat="1" ht="12.75">
      <c r="A44" s="86" t="s">
        <v>48</v>
      </c>
      <c r="B44" s="77"/>
      <c r="C44" s="76"/>
      <c r="D44" s="85"/>
      <c r="E44" s="60"/>
      <c r="F44" s="60"/>
      <c r="G44" s="60"/>
      <c r="H44" s="60"/>
      <c r="I44" s="60"/>
    </row>
    <row r="45" spans="1:9" s="67" customFormat="1" ht="25.5">
      <c r="A45" s="79" t="s">
        <v>49</v>
      </c>
      <c r="B45" s="80" t="s">
        <v>17</v>
      </c>
      <c r="C45" s="76">
        <v>0.48</v>
      </c>
      <c r="D45" s="88">
        <v>7933</v>
      </c>
      <c r="E45" s="60">
        <f>$C$45*$D$45*1</f>
        <v>3807.8399999999997</v>
      </c>
      <c r="F45" s="60">
        <f>$C$45*$D$45*3</f>
        <v>11423.519999999999</v>
      </c>
      <c r="G45" s="60">
        <f>$C$45*$D$45*3</f>
        <v>11423.519999999999</v>
      </c>
      <c r="H45" s="60">
        <f>$C$45*$D$45*3</f>
        <v>11423.519999999999</v>
      </c>
      <c r="I45" s="60">
        <f>SUM(E45:H45)</f>
        <v>38078.399999999994</v>
      </c>
    </row>
    <row r="46" spans="1:9" s="67" customFormat="1" ht="12.75">
      <c r="A46" s="86" t="s">
        <v>50</v>
      </c>
      <c r="B46" s="77"/>
      <c r="C46" s="76"/>
      <c r="D46" s="85"/>
      <c r="E46" s="60"/>
      <c r="F46" s="60"/>
      <c r="G46" s="60"/>
      <c r="H46" s="60"/>
      <c r="I46" s="60"/>
    </row>
    <row r="47" spans="1:9" s="67" customFormat="1" ht="12.75">
      <c r="A47" s="79" t="s">
        <v>51</v>
      </c>
      <c r="B47" s="80" t="s">
        <v>18</v>
      </c>
      <c r="C47" s="76">
        <v>4650</v>
      </c>
      <c r="D47" s="85">
        <v>4</v>
      </c>
      <c r="E47" s="60">
        <f>$C$47*$D$47*1</f>
        <v>18600</v>
      </c>
      <c r="F47" s="60">
        <f>$C$47*$D$47*3</f>
        <v>55800</v>
      </c>
      <c r="G47" s="60">
        <f>$C$47*$D$47*3</f>
        <v>55800</v>
      </c>
      <c r="H47" s="60">
        <f>$C$47*$D$47*3</f>
        <v>55800</v>
      </c>
      <c r="I47" s="60">
        <f>SUM(E47:H47)</f>
        <v>186000</v>
      </c>
    </row>
    <row r="48" spans="1:9" s="67" customFormat="1" ht="12.75">
      <c r="A48" s="86" t="s">
        <v>52</v>
      </c>
      <c r="B48" s="77"/>
      <c r="C48" s="76"/>
      <c r="D48" s="85"/>
      <c r="E48" s="60"/>
      <c r="F48" s="60"/>
      <c r="G48" s="60"/>
      <c r="H48" s="60"/>
      <c r="I48" s="60"/>
    </row>
    <row r="49" spans="1:9" s="67" customFormat="1" ht="25.5">
      <c r="A49" s="79" t="s">
        <v>53</v>
      </c>
      <c r="B49" s="80" t="s">
        <v>17</v>
      </c>
      <c r="C49" s="76">
        <v>1.62</v>
      </c>
      <c r="D49" s="88">
        <v>7933</v>
      </c>
      <c r="E49" s="60">
        <f>$C$49*$D$49*1</f>
        <v>12851.460000000001</v>
      </c>
      <c r="F49" s="60">
        <f>$C$49*$D$49*3</f>
        <v>38554.380000000005</v>
      </c>
      <c r="G49" s="60">
        <f>$C$49*$D$49*3</f>
        <v>38554.380000000005</v>
      </c>
      <c r="H49" s="60">
        <f>$C$49*$D$49*3</f>
        <v>38554.380000000005</v>
      </c>
      <c r="I49" s="60">
        <f>SUM(E49:H49)</f>
        <v>128514.6</v>
      </c>
    </row>
    <row r="50" spans="1:9" s="67" customFormat="1" ht="12.75">
      <c r="A50" s="89" t="s">
        <v>54</v>
      </c>
      <c r="B50" s="77"/>
      <c r="C50" s="76"/>
      <c r="D50" s="85"/>
      <c r="E50" s="60"/>
      <c r="F50" s="60"/>
      <c r="G50" s="60"/>
      <c r="H50" s="60"/>
      <c r="I50" s="60"/>
    </row>
    <row r="51" spans="1:9" s="67" customFormat="1" ht="25.5">
      <c r="A51" s="84" t="s">
        <v>57</v>
      </c>
      <c r="B51" s="77"/>
      <c r="C51" s="76"/>
      <c r="D51" s="85"/>
      <c r="E51" s="60">
        <v>3329</v>
      </c>
      <c r="F51" s="60">
        <v>9988</v>
      </c>
      <c r="G51" s="60">
        <v>9988</v>
      </c>
      <c r="H51" s="60">
        <v>9988</v>
      </c>
      <c r="I51" s="60">
        <f>SUM(E51:H51)</f>
        <v>33293</v>
      </c>
    </row>
    <row r="52" spans="1:9" s="67" customFormat="1" ht="12.75">
      <c r="A52" s="87" t="s">
        <v>55</v>
      </c>
      <c r="B52" s="80" t="s">
        <v>56</v>
      </c>
      <c r="C52" s="98">
        <f>3+0.936768</f>
        <v>3.936768</v>
      </c>
      <c r="D52" s="90">
        <v>143</v>
      </c>
      <c r="E52" s="60">
        <f>$C$52*$D$52*1</f>
        <v>562.957824</v>
      </c>
      <c r="F52" s="60">
        <f>$C$52*$D$52*3</f>
        <v>1688.8734719999998</v>
      </c>
      <c r="G52" s="60">
        <f>$C$52*$D$52*3</f>
        <v>1688.8734719999998</v>
      </c>
      <c r="H52" s="60">
        <f>$C$52*$D$52*3</f>
        <v>1688.8734719999998</v>
      </c>
      <c r="I52" s="60">
        <f>SUM(E52:H52)</f>
        <v>5629.578239999999</v>
      </c>
    </row>
    <row r="53" spans="1:9" s="67" customFormat="1" ht="12.75">
      <c r="A53" s="91" t="s">
        <v>20</v>
      </c>
      <c r="B53" s="92"/>
      <c r="C53" s="100"/>
      <c r="D53" s="92"/>
      <c r="E53" s="72">
        <f>SUM(E33:E52)</f>
        <v>74169.297824</v>
      </c>
      <c r="F53" s="72">
        <f>SUM(F33:F52)</f>
        <v>212695.893472</v>
      </c>
      <c r="G53" s="72">
        <f>SUM(G33:G52)</f>
        <v>212195.893472</v>
      </c>
      <c r="H53" s="72">
        <f>SUM(H33:H52)</f>
        <v>212695.893472</v>
      </c>
      <c r="I53" s="72">
        <f>SUM(I33:I52)</f>
        <v>711756.97824</v>
      </c>
    </row>
    <row r="54" spans="1:9" s="67" customFormat="1" ht="12.75">
      <c r="A54" s="62" t="s">
        <v>35</v>
      </c>
      <c r="B54" s="68"/>
      <c r="C54" s="101"/>
      <c r="D54" s="68"/>
      <c r="E54" s="60">
        <v>7908.5</v>
      </c>
      <c r="F54" s="60">
        <v>23725</v>
      </c>
      <c r="G54" s="60">
        <v>23725</v>
      </c>
      <c r="H54" s="60">
        <v>23725</v>
      </c>
      <c r="I54" s="60">
        <f>SUM(E54:H54)</f>
        <v>79083.5</v>
      </c>
    </row>
    <row r="55" spans="1:9" s="67" customFormat="1" ht="12.75">
      <c r="A55" s="93" t="s">
        <v>21</v>
      </c>
      <c r="B55" s="68"/>
      <c r="C55" s="101"/>
      <c r="D55" s="68"/>
      <c r="E55" s="94">
        <f>SUM(E53:E54)</f>
        <v>82077.797824</v>
      </c>
      <c r="F55" s="94">
        <f>SUM(F53:F54)</f>
        <v>236420.893472</v>
      </c>
      <c r="G55" s="94">
        <f>SUM(G53:G54)</f>
        <v>235920.893472</v>
      </c>
      <c r="H55" s="94">
        <f>SUM(H53:H54)</f>
        <v>236420.893472</v>
      </c>
      <c r="I55" s="94">
        <f>SUM(I53:I54)</f>
        <v>790840.47824</v>
      </c>
    </row>
    <row r="56" spans="1:9" ht="12.75">
      <c r="A56" s="105" t="s">
        <v>22</v>
      </c>
      <c r="B56" s="105"/>
      <c r="C56" s="105"/>
      <c r="D56" s="105"/>
      <c r="E56" s="105"/>
      <c r="F56" s="105"/>
      <c r="G56" s="105"/>
      <c r="H56" s="105"/>
      <c r="I56" s="106">
        <f>B24-I53</f>
        <v>-0.07823999994434416</v>
      </c>
    </row>
    <row r="58" spans="1:5" ht="12.75">
      <c r="A58" s="103"/>
      <c r="E58" s="104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L26" sqref="L26"/>
    </sheetView>
  </sheetViews>
  <sheetFormatPr defaultColWidth="9.140625" defaultRowHeight="12.75"/>
  <cols>
    <col min="1" max="1" width="51.28125" style="102" customWidth="1"/>
    <col min="2" max="2" width="11.421875" style="102" customWidth="1"/>
    <col min="3" max="9" width="8.57421875" style="102" customWidth="1"/>
    <col min="10" max="16384" width="9.140625" style="102" customWidth="1"/>
  </cols>
  <sheetData>
    <row r="1" spans="1:6" s="63" customFormat="1" ht="12.75">
      <c r="A1" s="63" t="s">
        <v>0</v>
      </c>
      <c r="F1" s="63" t="s">
        <v>0</v>
      </c>
    </row>
    <row r="2" s="63" customFormat="1" ht="12.75">
      <c r="H2" s="65"/>
    </row>
    <row r="3" spans="1:6" s="63" customFormat="1" ht="12.75">
      <c r="A3" s="66" t="s">
        <v>1</v>
      </c>
      <c r="F3" s="64" t="s">
        <v>2</v>
      </c>
    </row>
    <row r="4" s="63" customFormat="1" ht="12.75">
      <c r="H4" s="65"/>
    </row>
    <row r="6" spans="1:8" s="63" customFormat="1" ht="12.75">
      <c r="A6" s="66" t="s">
        <v>3</v>
      </c>
      <c r="F6" s="63" t="s">
        <v>34</v>
      </c>
      <c r="H6" s="65"/>
    </row>
    <row r="7" spans="1:8" s="67" customFormat="1" ht="12.75">
      <c r="A7" s="66"/>
      <c r="B7" s="63"/>
      <c r="C7" s="63"/>
      <c r="D7" s="63"/>
      <c r="E7" s="63"/>
      <c r="F7" s="63"/>
      <c r="G7" s="5"/>
      <c r="H7" s="95"/>
    </row>
    <row r="8" spans="1:8" s="67" customFormat="1" ht="12.75">
      <c r="A8" s="96" t="s">
        <v>3</v>
      </c>
      <c r="H8" s="95"/>
    </row>
    <row r="9" spans="1:8" s="67" customFormat="1" ht="12.75">
      <c r="A9" s="96"/>
      <c r="H9" s="95"/>
    </row>
    <row r="10" spans="1:8" s="67" customFormat="1" ht="12.75">
      <c r="A10" s="96"/>
      <c r="H10" s="95"/>
    </row>
    <row r="13" spans="1:9" s="67" customFormat="1" ht="12.7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</row>
    <row r="14" spans="1:9" s="67" customFormat="1" ht="12.75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</row>
    <row r="15" spans="1:9" s="67" customFormat="1" ht="12.75">
      <c r="A15" s="115" t="s">
        <v>124</v>
      </c>
      <c r="B15" s="115"/>
      <c r="C15" s="115"/>
      <c r="D15" s="115"/>
      <c r="E15" s="115"/>
      <c r="F15" s="115"/>
      <c r="G15" s="115"/>
      <c r="H15" s="115"/>
      <c r="I15" s="115"/>
    </row>
    <row r="17" spans="1:2" s="67" customFormat="1" ht="51">
      <c r="A17" s="68"/>
      <c r="B17" s="69" t="s">
        <v>33</v>
      </c>
    </row>
    <row r="18" spans="1:2" s="67" customFormat="1" ht="12.75">
      <c r="A18" s="70" t="s">
        <v>120</v>
      </c>
      <c r="B18" s="60">
        <v>0</v>
      </c>
    </row>
    <row r="19" spans="1:2" s="67" customFormat="1" ht="25.5">
      <c r="A19" s="61" t="s">
        <v>24</v>
      </c>
      <c r="B19" s="60">
        <v>445759</v>
      </c>
    </row>
    <row r="20" spans="1:2" s="67" customFormat="1" ht="25.5">
      <c r="A20" s="61" t="s">
        <v>25</v>
      </c>
      <c r="B20" s="60">
        <v>46968.6</v>
      </c>
    </row>
    <row r="21" spans="1:2" s="67" customFormat="1" ht="25.5">
      <c r="A21" s="61" t="s">
        <v>26</v>
      </c>
      <c r="B21" s="60">
        <f>4785+11964+190710</f>
        <v>207459</v>
      </c>
    </row>
    <row r="22" spans="1:2" s="67" customFormat="1" ht="12.75">
      <c r="A22" s="61" t="s">
        <v>27</v>
      </c>
      <c r="B22" s="60">
        <v>159516</v>
      </c>
    </row>
    <row r="23" spans="1:2" s="67" customFormat="1" ht="12.75">
      <c r="A23" s="62" t="s">
        <v>35</v>
      </c>
      <c r="B23" s="60">
        <f>(B19+B20+B21+B22)*10%</f>
        <v>85970.26000000001</v>
      </c>
    </row>
    <row r="24" spans="1:2" s="67" customFormat="1" ht="12.75">
      <c r="A24" s="71" t="s">
        <v>28</v>
      </c>
      <c r="B24" s="72">
        <f>B18+B19+B20+B21+B22-B23</f>
        <v>773732.34</v>
      </c>
    </row>
    <row r="25" spans="1:2" s="67" customFormat="1" ht="12.75">
      <c r="A25" s="61" t="s">
        <v>29</v>
      </c>
      <c r="B25" s="82">
        <v>5.03</v>
      </c>
    </row>
    <row r="26" spans="1:2" s="67" customFormat="1" ht="25.5">
      <c r="A26" s="61" t="s">
        <v>30</v>
      </c>
      <c r="B26" s="82">
        <v>0.53</v>
      </c>
    </row>
    <row r="27" spans="1:2" s="67" customFormat="1" ht="25.5">
      <c r="A27" s="61" t="s">
        <v>31</v>
      </c>
      <c r="B27" s="82">
        <v>2.69</v>
      </c>
    </row>
    <row r="28" spans="1:2" s="67" customFormat="1" ht="12.75">
      <c r="A28" s="70" t="s">
        <v>6</v>
      </c>
      <c r="B28" s="82">
        <v>1.8</v>
      </c>
    </row>
    <row r="29" spans="1:2" s="67" customFormat="1" ht="12.75">
      <c r="A29" s="73"/>
      <c r="B29" s="74"/>
    </row>
    <row r="30" spans="1:9" s="67" customFormat="1" ht="27" customHeight="1">
      <c r="A30" s="116" t="s">
        <v>7</v>
      </c>
      <c r="B30" s="117" t="s">
        <v>8</v>
      </c>
      <c r="C30" s="116" t="s">
        <v>9</v>
      </c>
      <c r="D30" s="117" t="s">
        <v>10</v>
      </c>
      <c r="E30" s="118" t="s">
        <v>11</v>
      </c>
      <c r="F30" s="119"/>
      <c r="G30" s="119"/>
      <c r="H30" s="120"/>
      <c r="I30" s="116" t="s">
        <v>12</v>
      </c>
    </row>
    <row r="31" spans="1:9" s="67" customFormat="1" ht="12.75">
      <c r="A31" s="117"/>
      <c r="B31" s="117"/>
      <c r="C31" s="117"/>
      <c r="D31" s="117"/>
      <c r="E31" s="76" t="s">
        <v>13</v>
      </c>
      <c r="F31" s="77" t="s">
        <v>14</v>
      </c>
      <c r="G31" s="77" t="s">
        <v>15</v>
      </c>
      <c r="H31" s="77" t="s">
        <v>16</v>
      </c>
      <c r="I31" s="117"/>
    </row>
    <row r="32" spans="1:9" s="67" customFormat="1" ht="12.75">
      <c r="A32" s="78" t="s">
        <v>36</v>
      </c>
      <c r="B32" s="75"/>
      <c r="C32" s="75"/>
      <c r="D32" s="75"/>
      <c r="E32" s="76"/>
      <c r="F32" s="77"/>
      <c r="G32" s="77"/>
      <c r="H32" s="77"/>
      <c r="I32" s="75"/>
    </row>
    <row r="33" spans="1:9" s="67" customFormat="1" ht="12.75">
      <c r="A33" s="79" t="s">
        <v>37</v>
      </c>
      <c r="B33" s="80"/>
      <c r="C33" s="97"/>
      <c r="D33" s="76"/>
      <c r="E33" s="60">
        <v>5000</v>
      </c>
      <c r="F33" s="60">
        <v>8000</v>
      </c>
      <c r="G33" s="60">
        <v>8000</v>
      </c>
      <c r="H33" s="60">
        <v>8000</v>
      </c>
      <c r="I33" s="60">
        <f aca="true" t="shared" si="0" ref="I33:I43">SUM(E33:H33)</f>
        <v>29000</v>
      </c>
    </row>
    <row r="34" spans="1:9" s="67" customFormat="1" ht="25.5">
      <c r="A34" s="81" t="s">
        <v>38</v>
      </c>
      <c r="B34" s="80" t="s">
        <v>17</v>
      </c>
      <c r="C34" s="97">
        <v>0.42</v>
      </c>
      <c r="D34" s="88">
        <v>8862</v>
      </c>
      <c r="E34" s="60">
        <f>$C$34*$D$34*1</f>
        <v>3722.04</v>
      </c>
      <c r="F34" s="60">
        <f>$C$34*$D$34*3</f>
        <v>11166.119999999999</v>
      </c>
      <c r="G34" s="60">
        <f>$C$34*$D$34*3</f>
        <v>11166.119999999999</v>
      </c>
      <c r="H34" s="60">
        <f>$C$34*$D$34*3</f>
        <v>11166.119999999999</v>
      </c>
      <c r="I34" s="60">
        <f t="shared" si="0"/>
        <v>37220.399999999994</v>
      </c>
    </row>
    <row r="35" spans="1:9" s="67" customFormat="1" ht="25.5">
      <c r="A35" s="81" t="s">
        <v>39</v>
      </c>
      <c r="B35" s="80" t="s">
        <v>17</v>
      </c>
      <c r="C35" s="97">
        <v>0.71</v>
      </c>
      <c r="D35" s="88">
        <v>8862</v>
      </c>
      <c r="E35" s="60">
        <f>$C$35*$D$35*1</f>
        <v>6292.0199999999995</v>
      </c>
      <c r="F35" s="60">
        <f>$C$35*$D$35*3</f>
        <v>18876.059999999998</v>
      </c>
      <c r="G35" s="60">
        <f>$C$35*$D$35*3</f>
        <v>18876.059999999998</v>
      </c>
      <c r="H35" s="60">
        <f>$C$35*$D$35*3</f>
        <v>18876.059999999998</v>
      </c>
      <c r="I35" s="60">
        <f t="shared" si="0"/>
        <v>62920.2</v>
      </c>
    </row>
    <row r="36" spans="1:9" s="67" customFormat="1" ht="25.5">
      <c r="A36" s="79" t="s">
        <v>40</v>
      </c>
      <c r="B36" s="80" t="s">
        <v>17</v>
      </c>
      <c r="C36" s="97">
        <v>0.25</v>
      </c>
      <c r="D36" s="88">
        <v>8862</v>
      </c>
      <c r="E36" s="60">
        <f>$C$36*$D$36*1</f>
        <v>2215.5</v>
      </c>
      <c r="F36" s="60">
        <f>$C$36*$D$36*3</f>
        <v>6646.5</v>
      </c>
      <c r="G36" s="60">
        <f>$C$36*$D$36*3</f>
        <v>6646.5</v>
      </c>
      <c r="H36" s="60">
        <f>$C$36*$D$36*3</f>
        <v>6646.5</v>
      </c>
      <c r="I36" s="60">
        <f t="shared" si="0"/>
        <v>22155</v>
      </c>
    </row>
    <row r="37" spans="1:9" s="67" customFormat="1" ht="25.5">
      <c r="A37" s="81" t="s">
        <v>41</v>
      </c>
      <c r="B37" s="80" t="s">
        <v>17</v>
      </c>
      <c r="C37" s="98">
        <v>0.3</v>
      </c>
      <c r="D37" s="88">
        <v>8862</v>
      </c>
      <c r="E37" s="60">
        <f>$C$37*$D$37*1</f>
        <v>2658.6</v>
      </c>
      <c r="F37" s="60">
        <f>$C$37*$D$37*3</f>
        <v>7975.799999999999</v>
      </c>
      <c r="G37" s="60">
        <f>$C$37*$D$37*3</f>
        <v>7975.799999999999</v>
      </c>
      <c r="H37" s="60">
        <f>$C$37*$D$37*3</f>
        <v>7975.799999999999</v>
      </c>
      <c r="I37" s="60">
        <f t="shared" si="0"/>
        <v>26585.999999999996</v>
      </c>
    </row>
    <row r="38" spans="1:9" s="67" customFormat="1" ht="25.5">
      <c r="A38" s="83" t="s">
        <v>42</v>
      </c>
      <c r="B38" s="76"/>
      <c r="C38" s="76"/>
      <c r="D38" s="76"/>
      <c r="E38" s="60">
        <v>6603</v>
      </c>
      <c r="F38" s="60">
        <v>15000</v>
      </c>
      <c r="G38" s="60">
        <v>15000</v>
      </c>
      <c r="H38" s="60">
        <v>15000</v>
      </c>
      <c r="I38" s="60">
        <f t="shared" si="0"/>
        <v>51603</v>
      </c>
    </row>
    <row r="39" spans="1:10" s="67" customFormat="1" ht="25.5">
      <c r="A39" s="84" t="s">
        <v>43</v>
      </c>
      <c r="B39" s="80" t="s">
        <v>17</v>
      </c>
      <c r="C39" s="97">
        <v>0.65</v>
      </c>
      <c r="D39" s="88">
        <v>8862</v>
      </c>
      <c r="E39" s="60">
        <f>$C$39*$D$39*1</f>
        <v>5760.3</v>
      </c>
      <c r="F39" s="60">
        <f>$C$39*$D$39*3</f>
        <v>17280.9</v>
      </c>
      <c r="G39" s="60">
        <f>$C$39*$D$39*3</f>
        <v>17280.9</v>
      </c>
      <c r="H39" s="60">
        <f>$C$39*$D$39*3</f>
        <v>17280.9</v>
      </c>
      <c r="I39" s="60">
        <f t="shared" si="0"/>
        <v>57603.00000000001</v>
      </c>
      <c r="J39" s="99"/>
    </row>
    <row r="40" spans="1:9" s="67" customFormat="1" ht="25.5">
      <c r="A40" s="84" t="s">
        <v>44</v>
      </c>
      <c r="B40" s="80" t="s">
        <v>17</v>
      </c>
      <c r="C40" s="97">
        <v>0.55</v>
      </c>
      <c r="D40" s="88">
        <v>8862</v>
      </c>
      <c r="E40" s="60">
        <f>$C$40*$D$40*1</f>
        <v>4874.1</v>
      </c>
      <c r="F40" s="60">
        <f>$C$40*$D$40*3</f>
        <v>14622.300000000001</v>
      </c>
      <c r="G40" s="60">
        <f>$C$40*$D$40*3</f>
        <v>14622.300000000001</v>
      </c>
      <c r="H40" s="60">
        <f>$C$40*$D$40*3</f>
        <v>14622.300000000001</v>
      </c>
      <c r="I40" s="60">
        <f t="shared" si="0"/>
        <v>48741.00000000001</v>
      </c>
    </row>
    <row r="41" spans="1:9" s="67" customFormat="1" ht="12.75">
      <c r="A41" s="79" t="s">
        <v>45</v>
      </c>
      <c r="B41" s="76" t="s">
        <v>18</v>
      </c>
      <c r="C41" s="76">
        <v>100</v>
      </c>
      <c r="D41" s="76">
        <v>4</v>
      </c>
      <c r="E41" s="60">
        <f>$C$41*$D$41*1</f>
        <v>400</v>
      </c>
      <c r="F41" s="60">
        <f>$C$41*$D$41*3</f>
        <v>1200</v>
      </c>
      <c r="G41" s="60">
        <f>$C$41*$D$41*3</f>
        <v>1200</v>
      </c>
      <c r="H41" s="60">
        <f>$C$41*$D$41*3</f>
        <v>1200</v>
      </c>
      <c r="I41" s="60">
        <f t="shared" si="0"/>
        <v>4000</v>
      </c>
    </row>
    <row r="42" spans="1:9" s="67" customFormat="1" ht="25.5">
      <c r="A42" s="84" t="s">
        <v>46</v>
      </c>
      <c r="B42" s="76"/>
      <c r="C42" s="76"/>
      <c r="D42" s="76"/>
      <c r="E42" s="60">
        <v>3000</v>
      </c>
      <c r="F42" s="60">
        <v>5000</v>
      </c>
      <c r="G42" s="60">
        <v>5000</v>
      </c>
      <c r="H42" s="60">
        <v>5000</v>
      </c>
      <c r="I42" s="60">
        <f t="shared" si="0"/>
        <v>18000</v>
      </c>
    </row>
    <row r="43" spans="1:9" s="67" customFormat="1" ht="12.75">
      <c r="A43" s="79" t="s">
        <v>47</v>
      </c>
      <c r="B43" s="77" t="s">
        <v>19</v>
      </c>
      <c r="C43" s="76">
        <v>1</v>
      </c>
      <c r="D43" s="85">
        <v>1000</v>
      </c>
      <c r="E43" s="60"/>
      <c r="F43" s="60">
        <f>C43*D43/2</f>
        <v>500</v>
      </c>
      <c r="G43" s="60"/>
      <c r="H43" s="60">
        <f>C43/2*D43</f>
        <v>500</v>
      </c>
      <c r="I43" s="60">
        <f t="shared" si="0"/>
        <v>1000</v>
      </c>
    </row>
    <row r="44" spans="1:9" s="67" customFormat="1" ht="12.75">
      <c r="A44" s="86" t="s">
        <v>48</v>
      </c>
      <c r="B44" s="77"/>
      <c r="C44" s="76"/>
      <c r="D44" s="85"/>
      <c r="E44" s="60"/>
      <c r="F44" s="60"/>
      <c r="G44" s="60"/>
      <c r="H44" s="60"/>
      <c r="I44" s="60"/>
    </row>
    <row r="45" spans="1:9" s="67" customFormat="1" ht="25.5">
      <c r="A45" s="79" t="s">
        <v>49</v>
      </c>
      <c r="B45" s="80" t="s">
        <v>17</v>
      </c>
      <c r="C45" s="76">
        <v>0.48</v>
      </c>
      <c r="D45" s="88">
        <v>8862</v>
      </c>
      <c r="E45" s="60">
        <f>$C$45*$D$45*1</f>
        <v>4253.76</v>
      </c>
      <c r="F45" s="60">
        <f>$C$45*$D$45*3</f>
        <v>12761.28</v>
      </c>
      <c r="G45" s="60">
        <f>$C$45*$D$45*3</f>
        <v>12761.28</v>
      </c>
      <c r="H45" s="60">
        <f>$C$45*$D$45*3</f>
        <v>12761.28</v>
      </c>
      <c r="I45" s="60">
        <f>SUM(E45:H45)</f>
        <v>42537.6</v>
      </c>
    </row>
    <row r="46" spans="1:9" s="67" customFormat="1" ht="12.75">
      <c r="A46" s="86" t="s">
        <v>50</v>
      </c>
      <c r="B46" s="77"/>
      <c r="C46" s="76"/>
      <c r="D46" s="85"/>
      <c r="E46" s="60"/>
      <c r="F46" s="60"/>
      <c r="G46" s="60"/>
      <c r="H46" s="60"/>
      <c r="I46" s="60"/>
    </row>
    <row r="47" spans="1:9" s="67" customFormat="1" ht="12.75">
      <c r="A47" s="79" t="s">
        <v>51</v>
      </c>
      <c r="B47" s="80" t="s">
        <v>18</v>
      </c>
      <c r="C47" s="76">
        <v>4650</v>
      </c>
      <c r="D47" s="85">
        <v>4</v>
      </c>
      <c r="E47" s="60">
        <f>$C$47*$D$47*1</f>
        <v>18600</v>
      </c>
      <c r="F47" s="60">
        <f>$C$47*$D$47*3</f>
        <v>55800</v>
      </c>
      <c r="G47" s="60">
        <f>$C$47*$D$47*3</f>
        <v>55800</v>
      </c>
      <c r="H47" s="60">
        <f>$C$47*$D$47*3</f>
        <v>55800</v>
      </c>
      <c r="I47" s="60">
        <f>SUM(E47:H47)</f>
        <v>186000</v>
      </c>
    </row>
    <row r="48" spans="1:9" s="67" customFormat="1" ht="12.75">
      <c r="A48" s="86" t="s">
        <v>52</v>
      </c>
      <c r="B48" s="77"/>
      <c r="C48" s="76"/>
      <c r="D48" s="85"/>
      <c r="E48" s="60"/>
      <c r="F48" s="60"/>
      <c r="G48" s="60"/>
      <c r="H48" s="60"/>
      <c r="I48" s="60"/>
    </row>
    <row r="49" spans="1:9" s="67" customFormat="1" ht="25.5">
      <c r="A49" s="79" t="s">
        <v>53</v>
      </c>
      <c r="B49" s="80" t="s">
        <v>17</v>
      </c>
      <c r="C49" s="76">
        <v>1.62</v>
      </c>
      <c r="D49" s="88">
        <v>8862</v>
      </c>
      <c r="E49" s="60">
        <f>$C$49*$D$49*1</f>
        <v>14356.44</v>
      </c>
      <c r="F49" s="60">
        <f>$C$49*$D$49*3</f>
        <v>43069.32</v>
      </c>
      <c r="G49" s="60">
        <f>$C$49*$D$49*3</f>
        <v>43069.32</v>
      </c>
      <c r="H49" s="60">
        <f>$C$49*$D$49*3</f>
        <v>43069.32</v>
      </c>
      <c r="I49" s="60">
        <f>SUM(E49:H49)</f>
        <v>143564.4</v>
      </c>
    </row>
    <row r="50" spans="1:9" s="67" customFormat="1" ht="12.75">
      <c r="A50" s="89" t="s">
        <v>54</v>
      </c>
      <c r="B50" s="77"/>
      <c r="C50" s="76"/>
      <c r="D50" s="85"/>
      <c r="E50" s="60"/>
      <c r="F50" s="60"/>
      <c r="G50" s="60"/>
      <c r="H50" s="60"/>
      <c r="I50" s="60"/>
    </row>
    <row r="51" spans="1:9" s="67" customFormat="1" ht="25.5">
      <c r="A51" s="84" t="s">
        <v>57</v>
      </c>
      <c r="B51" s="77"/>
      <c r="C51" s="76"/>
      <c r="D51" s="85"/>
      <c r="E51" s="60">
        <v>3647</v>
      </c>
      <c r="F51" s="60">
        <v>10939</v>
      </c>
      <c r="G51" s="60">
        <v>10939</v>
      </c>
      <c r="H51" s="60">
        <v>10939</v>
      </c>
      <c r="I51" s="60">
        <f>SUM(E51:H51)</f>
        <v>36464</v>
      </c>
    </row>
    <row r="52" spans="1:9" s="67" customFormat="1" ht="12.75">
      <c r="A52" s="87" t="s">
        <v>55</v>
      </c>
      <c r="B52" s="80" t="s">
        <v>56</v>
      </c>
      <c r="C52" s="98">
        <f>3+0.936768</f>
        <v>3.936768</v>
      </c>
      <c r="D52" s="90">
        <v>161</v>
      </c>
      <c r="E52" s="60">
        <f>$C$52*$D$52*1</f>
        <v>633.8196479999999</v>
      </c>
      <c r="F52" s="60">
        <f>$C$52*$D$52*3</f>
        <v>1901.4589439999997</v>
      </c>
      <c r="G52" s="60">
        <f>$C$52*$D$52*3</f>
        <v>1901.4589439999997</v>
      </c>
      <c r="H52" s="60">
        <f>$C$52*$D$52*3</f>
        <v>1901.4589439999997</v>
      </c>
      <c r="I52" s="60">
        <f>SUM(E52:H52)</f>
        <v>6338.19648</v>
      </c>
    </row>
    <row r="53" spans="1:9" s="67" customFormat="1" ht="12.75">
      <c r="A53" s="91" t="s">
        <v>20</v>
      </c>
      <c r="B53" s="92"/>
      <c r="C53" s="100"/>
      <c r="D53" s="92"/>
      <c r="E53" s="72">
        <f>SUM(E33:E52)</f>
        <v>82016.579648</v>
      </c>
      <c r="F53" s="72">
        <f>SUM(F33:F52)</f>
        <v>230738.73894400004</v>
      </c>
      <c r="G53" s="72">
        <f>SUM(G33:G52)</f>
        <v>230238.73894400004</v>
      </c>
      <c r="H53" s="72">
        <f>SUM(H33:H52)</f>
        <v>230738.73894400004</v>
      </c>
      <c r="I53" s="72">
        <f>SUM(I33:I52)</f>
        <v>773732.79648</v>
      </c>
    </row>
    <row r="54" spans="1:9" s="67" customFormat="1" ht="12.75">
      <c r="A54" s="62" t="s">
        <v>35</v>
      </c>
      <c r="B54" s="68"/>
      <c r="C54" s="101"/>
      <c r="D54" s="68"/>
      <c r="E54" s="60">
        <v>8597</v>
      </c>
      <c r="F54" s="60">
        <v>25791</v>
      </c>
      <c r="G54" s="60">
        <v>25791</v>
      </c>
      <c r="H54" s="60">
        <v>25791</v>
      </c>
      <c r="I54" s="60">
        <f>SUM(E54:H54)</f>
        <v>85970</v>
      </c>
    </row>
    <row r="55" spans="1:9" s="67" customFormat="1" ht="12.75">
      <c r="A55" s="93" t="s">
        <v>21</v>
      </c>
      <c r="B55" s="68"/>
      <c r="C55" s="101"/>
      <c r="D55" s="68"/>
      <c r="E55" s="94">
        <f>SUM(E53:E54)</f>
        <v>90613.579648</v>
      </c>
      <c r="F55" s="94">
        <f>SUM(F53:F54)</f>
        <v>256529.73894400004</v>
      </c>
      <c r="G55" s="94">
        <f>SUM(G53:G54)</f>
        <v>256029.73894400004</v>
      </c>
      <c r="H55" s="94">
        <f>SUM(H53:H54)</f>
        <v>256529.73894400004</v>
      </c>
      <c r="I55" s="94">
        <f>SUM(I53:I54)</f>
        <v>859702.79648</v>
      </c>
    </row>
    <row r="56" spans="1:9" ht="12.75">
      <c r="A56" s="105" t="s">
        <v>22</v>
      </c>
      <c r="B56" s="105"/>
      <c r="C56" s="105"/>
      <c r="D56" s="105"/>
      <c r="E56" s="105"/>
      <c r="F56" s="105"/>
      <c r="G56" s="105"/>
      <c r="H56" s="105"/>
      <c r="I56" s="106">
        <f>B24-I53</f>
        <v>-0.4564800000516698</v>
      </c>
    </row>
    <row r="58" spans="1:5" ht="12.75">
      <c r="A58" s="103"/>
      <c r="E58" s="104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2">
      <selection activeCell="M45" sqref="M45"/>
    </sheetView>
  </sheetViews>
  <sheetFormatPr defaultColWidth="9.140625" defaultRowHeight="12.75"/>
  <cols>
    <col min="1" max="1" width="51.28125" style="102" customWidth="1"/>
    <col min="2" max="2" width="11.421875" style="102" customWidth="1"/>
    <col min="3" max="9" width="8.57421875" style="102" customWidth="1"/>
    <col min="10" max="16384" width="9.140625" style="102" customWidth="1"/>
  </cols>
  <sheetData>
    <row r="1" spans="1:6" s="63" customFormat="1" ht="12.75">
      <c r="A1" s="63" t="s">
        <v>0</v>
      </c>
      <c r="F1" s="63" t="s">
        <v>0</v>
      </c>
    </row>
    <row r="2" s="63" customFormat="1" ht="12.75">
      <c r="H2" s="65"/>
    </row>
    <row r="3" spans="1:6" s="63" customFormat="1" ht="12.75">
      <c r="A3" s="66" t="s">
        <v>1</v>
      </c>
      <c r="F3" s="64" t="s">
        <v>2</v>
      </c>
    </row>
    <row r="4" s="63" customFormat="1" ht="12.75">
      <c r="H4" s="65"/>
    </row>
    <row r="6" spans="1:8" s="63" customFormat="1" ht="12.75">
      <c r="A6" s="66" t="s">
        <v>3</v>
      </c>
      <c r="F6" s="63" t="s">
        <v>34</v>
      </c>
      <c r="H6" s="65"/>
    </row>
    <row r="7" spans="1:8" s="67" customFormat="1" ht="12.75">
      <c r="A7" s="66"/>
      <c r="B7" s="63"/>
      <c r="C7" s="63"/>
      <c r="D7" s="63"/>
      <c r="E7" s="63"/>
      <c r="F7" s="63"/>
      <c r="G7" s="5"/>
      <c r="H7" s="95"/>
    </row>
    <row r="8" spans="1:8" s="67" customFormat="1" ht="12.75">
      <c r="A8" s="96" t="s">
        <v>3</v>
      </c>
      <c r="H8" s="95"/>
    </row>
    <row r="9" spans="1:8" s="67" customFormat="1" ht="12.75">
      <c r="A9" s="96"/>
      <c r="H9" s="95"/>
    </row>
    <row r="10" spans="1:8" s="67" customFormat="1" ht="12.75">
      <c r="A10" s="96"/>
      <c r="H10" s="95"/>
    </row>
    <row r="13" spans="1:9" s="67" customFormat="1" ht="12.7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</row>
    <row r="14" spans="1:9" s="67" customFormat="1" ht="12.75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</row>
    <row r="15" spans="1:9" s="67" customFormat="1" ht="12.75">
      <c r="A15" s="115" t="s">
        <v>126</v>
      </c>
      <c r="B15" s="115"/>
      <c r="C15" s="115"/>
      <c r="D15" s="115"/>
      <c r="E15" s="115"/>
      <c r="F15" s="115"/>
      <c r="G15" s="115"/>
      <c r="H15" s="115"/>
      <c r="I15" s="115"/>
    </row>
    <row r="17" spans="1:2" s="67" customFormat="1" ht="51">
      <c r="A17" s="68"/>
      <c r="B17" s="69" t="s">
        <v>33</v>
      </c>
    </row>
    <row r="18" spans="1:2" s="67" customFormat="1" ht="12.75">
      <c r="A18" s="70" t="s">
        <v>120</v>
      </c>
      <c r="B18" s="60">
        <v>0</v>
      </c>
    </row>
    <row r="19" spans="1:2" s="67" customFormat="1" ht="25.5">
      <c r="A19" s="61" t="s">
        <v>24</v>
      </c>
      <c r="B19" s="60">
        <v>335310</v>
      </c>
    </row>
    <row r="20" spans="1:2" s="67" customFormat="1" ht="25.5">
      <c r="A20" s="61" t="s">
        <v>25</v>
      </c>
      <c r="B20" s="60">
        <v>37280.7</v>
      </c>
    </row>
    <row r="21" spans="1:2" s="67" customFormat="1" ht="25.5">
      <c r="A21" s="61" t="s">
        <v>26</v>
      </c>
      <c r="B21" s="60">
        <v>147734.8</v>
      </c>
    </row>
    <row r="22" spans="1:2" s="67" customFormat="1" ht="12.75">
      <c r="A22" s="61" t="s">
        <v>27</v>
      </c>
      <c r="B22" s="60">
        <v>98856</v>
      </c>
    </row>
    <row r="23" spans="1:2" s="67" customFormat="1" ht="12.75">
      <c r="A23" s="62" t="s">
        <v>35</v>
      </c>
      <c r="B23" s="60">
        <f>(B19+B20+B21+B22)*10%</f>
        <v>61918.15</v>
      </c>
    </row>
    <row r="24" spans="1:2" s="67" customFormat="1" ht="12.75">
      <c r="A24" s="71" t="s">
        <v>28</v>
      </c>
      <c r="B24" s="72">
        <f>B18+B19+B20+B21+B22-B23</f>
        <v>557263.35</v>
      </c>
    </row>
    <row r="25" spans="1:2" s="67" customFormat="1" ht="12.75">
      <c r="A25" s="61" t="s">
        <v>29</v>
      </c>
      <c r="B25" s="82">
        <v>5.03</v>
      </c>
    </row>
    <row r="26" spans="1:2" s="67" customFormat="1" ht="12.75" customHeight="1">
      <c r="A26" s="61" t="s">
        <v>30</v>
      </c>
      <c r="B26" s="82">
        <v>0.53</v>
      </c>
    </row>
    <row r="27" spans="1:2" s="67" customFormat="1" ht="25.5">
      <c r="A27" s="61" t="s">
        <v>31</v>
      </c>
      <c r="B27" s="82">
        <v>2.69</v>
      </c>
    </row>
    <row r="28" spans="1:2" s="67" customFormat="1" ht="12.75">
      <c r="A28" s="70" t="s">
        <v>6</v>
      </c>
      <c r="B28" s="82">
        <v>1.8</v>
      </c>
    </row>
    <row r="29" spans="1:2" s="67" customFormat="1" ht="12.75">
      <c r="A29" s="73"/>
      <c r="B29" s="74"/>
    </row>
    <row r="30" spans="1:9" s="67" customFormat="1" ht="27" customHeight="1">
      <c r="A30" s="116" t="s">
        <v>7</v>
      </c>
      <c r="B30" s="117" t="s">
        <v>8</v>
      </c>
      <c r="C30" s="116" t="s">
        <v>9</v>
      </c>
      <c r="D30" s="117" t="s">
        <v>10</v>
      </c>
      <c r="E30" s="118" t="s">
        <v>11</v>
      </c>
      <c r="F30" s="119"/>
      <c r="G30" s="119"/>
      <c r="H30" s="120"/>
      <c r="I30" s="116" t="s">
        <v>12</v>
      </c>
    </row>
    <row r="31" spans="1:9" s="67" customFormat="1" ht="12.75">
      <c r="A31" s="117"/>
      <c r="B31" s="117"/>
      <c r="C31" s="117"/>
      <c r="D31" s="117"/>
      <c r="E31" s="76" t="s">
        <v>13</v>
      </c>
      <c r="F31" s="77" t="s">
        <v>14</v>
      </c>
      <c r="G31" s="77" t="s">
        <v>15</v>
      </c>
      <c r="H31" s="77" t="s">
        <v>16</v>
      </c>
      <c r="I31" s="117"/>
    </row>
    <row r="32" spans="1:9" s="67" customFormat="1" ht="12.75">
      <c r="A32" s="78" t="s">
        <v>36</v>
      </c>
      <c r="B32" s="75"/>
      <c r="C32" s="75"/>
      <c r="D32" s="75"/>
      <c r="E32" s="76"/>
      <c r="F32" s="77"/>
      <c r="G32" s="77"/>
      <c r="H32" s="77"/>
      <c r="I32" s="75"/>
    </row>
    <row r="33" spans="1:9" s="67" customFormat="1" ht="12.75">
      <c r="A33" s="79" t="s">
        <v>37</v>
      </c>
      <c r="B33" s="80"/>
      <c r="C33" s="97"/>
      <c r="D33" s="76"/>
      <c r="E33" s="60">
        <v>2000</v>
      </c>
      <c r="F33" s="60">
        <v>4000</v>
      </c>
      <c r="G33" s="60">
        <v>4000</v>
      </c>
      <c r="H33" s="60">
        <v>4000</v>
      </c>
      <c r="I33" s="60">
        <f aca="true" t="shared" si="0" ref="I33:I43">SUM(E33:H33)</f>
        <v>14000</v>
      </c>
    </row>
    <row r="34" spans="1:9" s="67" customFormat="1" ht="25.5">
      <c r="A34" s="81" t="s">
        <v>38</v>
      </c>
      <c r="B34" s="80" t="s">
        <v>17</v>
      </c>
      <c r="C34" s="97">
        <v>0.42</v>
      </c>
      <c r="D34" s="88">
        <f>5492+1542.1</f>
        <v>7034.1</v>
      </c>
      <c r="E34" s="60">
        <f>$C$34*$D$34*1</f>
        <v>2954.322</v>
      </c>
      <c r="F34" s="60">
        <f>$C$34*$D$34*3</f>
        <v>8862.966</v>
      </c>
      <c r="G34" s="60">
        <f>$C$34*$D$34*3</f>
        <v>8862.966</v>
      </c>
      <c r="H34" s="60">
        <f>$C$34*$D$34*3</f>
        <v>8862.966</v>
      </c>
      <c r="I34" s="60">
        <f t="shared" si="0"/>
        <v>29543.22</v>
      </c>
    </row>
    <row r="35" spans="1:9" s="67" customFormat="1" ht="25.5">
      <c r="A35" s="81" t="s">
        <v>39</v>
      </c>
      <c r="B35" s="80" t="s">
        <v>17</v>
      </c>
      <c r="C35" s="97">
        <v>0.71</v>
      </c>
      <c r="D35" s="88">
        <f>5492+1542.1</f>
        <v>7034.1</v>
      </c>
      <c r="E35" s="60">
        <f>$C$35*$D$35*1</f>
        <v>4994.211</v>
      </c>
      <c r="F35" s="60">
        <f>$C$35*$D$35*3</f>
        <v>14982.633000000002</v>
      </c>
      <c r="G35" s="60">
        <f>$C$35*$D$35*3</f>
        <v>14982.633000000002</v>
      </c>
      <c r="H35" s="60">
        <f>$C$35*$D$35*3</f>
        <v>14982.633000000002</v>
      </c>
      <c r="I35" s="60">
        <f t="shared" si="0"/>
        <v>49942.11</v>
      </c>
    </row>
    <row r="36" spans="1:9" s="67" customFormat="1" ht="25.5">
      <c r="A36" s="79" t="s">
        <v>40</v>
      </c>
      <c r="B36" s="80" t="s">
        <v>17</v>
      </c>
      <c r="C36" s="97">
        <v>0.25</v>
      </c>
      <c r="D36" s="88">
        <f>5492+1542.1</f>
        <v>7034.1</v>
      </c>
      <c r="E36" s="60">
        <f>$C$36*$D$36*1</f>
        <v>1758.525</v>
      </c>
      <c r="F36" s="60">
        <f>$C$36*$D$36*3</f>
        <v>5275.575000000001</v>
      </c>
      <c r="G36" s="60">
        <f>$C$36*$D$36*3</f>
        <v>5275.575000000001</v>
      </c>
      <c r="H36" s="60">
        <f>$C$36*$D$36*3</f>
        <v>5275.575000000001</v>
      </c>
      <c r="I36" s="60">
        <f t="shared" si="0"/>
        <v>17585.25</v>
      </c>
    </row>
    <row r="37" spans="1:9" s="67" customFormat="1" ht="25.5">
      <c r="A37" s="81" t="s">
        <v>41</v>
      </c>
      <c r="B37" s="80" t="s">
        <v>17</v>
      </c>
      <c r="C37" s="98">
        <v>0.3</v>
      </c>
      <c r="D37" s="88">
        <f>5492+1542.1</f>
        <v>7034.1</v>
      </c>
      <c r="E37" s="60">
        <f>$C$37*$D$37*1</f>
        <v>2110.23</v>
      </c>
      <c r="F37" s="60">
        <f>$C$37*$D$37*3</f>
        <v>6330.6900000000005</v>
      </c>
      <c r="G37" s="60">
        <f>$C$37*$D$37*3</f>
        <v>6330.6900000000005</v>
      </c>
      <c r="H37" s="60">
        <f>$C$37*$D$37*3</f>
        <v>6330.6900000000005</v>
      </c>
      <c r="I37" s="60">
        <f t="shared" si="0"/>
        <v>21102.300000000003</v>
      </c>
    </row>
    <row r="38" spans="1:9" s="67" customFormat="1" ht="25.5">
      <c r="A38" s="83" t="s">
        <v>42</v>
      </c>
      <c r="B38" s="76"/>
      <c r="C38" s="76"/>
      <c r="D38" s="76"/>
      <c r="E38" s="60">
        <v>5000</v>
      </c>
      <c r="F38" s="60">
        <v>15000</v>
      </c>
      <c r="G38" s="60">
        <v>15000</v>
      </c>
      <c r="H38" s="60">
        <v>15000</v>
      </c>
      <c r="I38" s="60">
        <f t="shared" si="0"/>
        <v>50000</v>
      </c>
    </row>
    <row r="39" spans="1:10" s="67" customFormat="1" ht="25.5">
      <c r="A39" s="84" t="s">
        <v>43</v>
      </c>
      <c r="B39" s="80" t="s">
        <v>17</v>
      </c>
      <c r="C39" s="97">
        <v>0.65</v>
      </c>
      <c r="D39" s="88">
        <f>5492</f>
        <v>5492</v>
      </c>
      <c r="E39" s="60">
        <f>$C$39*$D$39*1</f>
        <v>3569.8</v>
      </c>
      <c r="F39" s="60">
        <f>$C$39*$D$39*3</f>
        <v>10709.400000000001</v>
      </c>
      <c r="G39" s="60">
        <f>$C$39*$D$39*3</f>
        <v>10709.400000000001</v>
      </c>
      <c r="H39" s="60">
        <f>$C$39*$D$39*3</f>
        <v>10709.400000000001</v>
      </c>
      <c r="I39" s="60">
        <f t="shared" si="0"/>
        <v>35698</v>
      </c>
      <c r="J39" s="99"/>
    </row>
    <row r="40" spans="1:9" s="67" customFormat="1" ht="25.5">
      <c r="A40" s="84" t="s">
        <v>44</v>
      </c>
      <c r="B40" s="80" t="s">
        <v>17</v>
      </c>
      <c r="C40" s="97">
        <v>0.55</v>
      </c>
      <c r="D40" s="88">
        <f>5492</f>
        <v>5492</v>
      </c>
      <c r="E40" s="60">
        <f>$C$40*$D$40*1</f>
        <v>3020.6000000000004</v>
      </c>
      <c r="F40" s="60">
        <f>$C$40*$D$40*3</f>
        <v>9061.800000000001</v>
      </c>
      <c r="G40" s="60">
        <f>$C$40*$D$40*3</f>
        <v>9061.800000000001</v>
      </c>
      <c r="H40" s="60">
        <f>$C$40*$D$40*3</f>
        <v>9061.800000000001</v>
      </c>
      <c r="I40" s="60">
        <f t="shared" si="0"/>
        <v>30206.000000000007</v>
      </c>
    </row>
    <row r="41" spans="1:9" s="67" customFormat="1" ht="12.75">
      <c r="A41" s="79" t="s">
        <v>45</v>
      </c>
      <c r="B41" s="76" t="s">
        <v>18</v>
      </c>
      <c r="C41" s="76">
        <v>100</v>
      </c>
      <c r="D41" s="76">
        <v>3</v>
      </c>
      <c r="E41" s="60">
        <f>$C$41*$D$41*1</f>
        <v>300</v>
      </c>
      <c r="F41" s="60">
        <f>$C$41*$D$41*3</f>
        <v>900</v>
      </c>
      <c r="G41" s="60">
        <f>$C$41*$D$41*3</f>
        <v>900</v>
      </c>
      <c r="H41" s="60">
        <f>$C$41*$D$41*3</f>
        <v>900</v>
      </c>
      <c r="I41" s="60">
        <f t="shared" si="0"/>
        <v>3000</v>
      </c>
    </row>
    <row r="42" spans="1:9" s="67" customFormat="1" ht="25.5">
      <c r="A42" s="84" t="s">
        <v>46</v>
      </c>
      <c r="B42" s="76"/>
      <c r="C42" s="76"/>
      <c r="D42" s="76"/>
      <c r="E42" s="60">
        <v>2838</v>
      </c>
      <c r="F42" s="60">
        <v>3000</v>
      </c>
      <c r="G42" s="60">
        <v>3000</v>
      </c>
      <c r="H42" s="60">
        <v>3000</v>
      </c>
      <c r="I42" s="60">
        <f t="shared" si="0"/>
        <v>11838</v>
      </c>
    </row>
    <row r="43" spans="1:9" s="67" customFormat="1" ht="12.75">
      <c r="A43" s="79" t="s">
        <v>47</v>
      </c>
      <c r="B43" s="77" t="s">
        <v>19</v>
      </c>
      <c r="C43" s="76">
        <v>1</v>
      </c>
      <c r="D43" s="85">
        <v>770</v>
      </c>
      <c r="E43" s="60"/>
      <c r="F43" s="60">
        <f>C43*D43/2</f>
        <v>385</v>
      </c>
      <c r="G43" s="60"/>
      <c r="H43" s="60">
        <f>C43/2*D43</f>
        <v>385</v>
      </c>
      <c r="I43" s="60">
        <f t="shared" si="0"/>
        <v>770</v>
      </c>
    </row>
    <row r="44" spans="1:9" s="67" customFormat="1" ht="12.75">
      <c r="A44" s="86" t="s">
        <v>48</v>
      </c>
      <c r="B44" s="77"/>
      <c r="C44" s="76"/>
      <c r="D44" s="85"/>
      <c r="E44" s="60"/>
      <c r="F44" s="60"/>
      <c r="G44" s="60"/>
      <c r="H44" s="60"/>
      <c r="I44" s="60"/>
    </row>
    <row r="45" spans="1:9" s="67" customFormat="1" ht="25.5">
      <c r="A45" s="79" t="s">
        <v>49</v>
      </c>
      <c r="B45" s="80" t="s">
        <v>17</v>
      </c>
      <c r="C45" s="76">
        <v>0.48</v>
      </c>
      <c r="D45" s="88">
        <f>5492+1542.1</f>
        <v>7034.1</v>
      </c>
      <c r="E45" s="60">
        <f>$C$45*$D$45*1</f>
        <v>3376.368</v>
      </c>
      <c r="F45" s="60">
        <f>$C$45*$D$45*3</f>
        <v>10129.104</v>
      </c>
      <c r="G45" s="60">
        <f>$C$45*$D$45*3</f>
        <v>10129.104</v>
      </c>
      <c r="H45" s="60">
        <f>$C$45*$D$45*3</f>
        <v>10129.104</v>
      </c>
      <c r="I45" s="60">
        <f>SUM(E45:H45)</f>
        <v>33763.68</v>
      </c>
    </row>
    <row r="46" spans="1:9" s="67" customFormat="1" ht="12.75">
      <c r="A46" s="86" t="s">
        <v>50</v>
      </c>
      <c r="B46" s="77"/>
      <c r="C46" s="76"/>
      <c r="D46" s="85"/>
      <c r="E46" s="60"/>
      <c r="F46" s="60"/>
      <c r="G46" s="60"/>
      <c r="H46" s="60"/>
      <c r="I46" s="60"/>
    </row>
    <row r="47" spans="1:9" s="67" customFormat="1" ht="12.75">
      <c r="A47" s="79" t="s">
        <v>51</v>
      </c>
      <c r="B47" s="80" t="s">
        <v>18</v>
      </c>
      <c r="C47" s="76">
        <v>4650</v>
      </c>
      <c r="D47" s="85">
        <v>3</v>
      </c>
      <c r="E47" s="60">
        <f>$C$47*$D$47*1</f>
        <v>13950</v>
      </c>
      <c r="F47" s="60">
        <f>$C$47*$D$47*3</f>
        <v>41850</v>
      </c>
      <c r="G47" s="60">
        <f>$C$47*$D$47*3</f>
        <v>41850</v>
      </c>
      <c r="H47" s="60">
        <f>$C$47*$D$47*3</f>
        <v>41850</v>
      </c>
      <c r="I47" s="60">
        <f>SUM(E47:H47)</f>
        <v>139500</v>
      </c>
    </row>
    <row r="48" spans="1:9" s="67" customFormat="1" ht="12.75">
      <c r="A48" s="86" t="s">
        <v>52</v>
      </c>
      <c r="B48" s="77"/>
      <c r="C48" s="76"/>
      <c r="D48" s="85"/>
      <c r="E48" s="60"/>
      <c r="F48" s="60"/>
      <c r="G48" s="60"/>
      <c r="H48" s="60"/>
      <c r="I48" s="60"/>
    </row>
    <row r="49" spans="1:9" s="67" customFormat="1" ht="25.5">
      <c r="A49" s="79" t="s">
        <v>53</v>
      </c>
      <c r="B49" s="80" t="s">
        <v>17</v>
      </c>
      <c r="C49" s="76">
        <v>1.62</v>
      </c>
      <c r="D49" s="88">
        <f>5492</f>
        <v>5492</v>
      </c>
      <c r="E49" s="60">
        <f>$C$49*$D$49*1</f>
        <v>8897.04</v>
      </c>
      <c r="F49" s="60">
        <f>$C$49*$D$49*3</f>
        <v>26691.120000000003</v>
      </c>
      <c r="G49" s="60">
        <f>$C$49*$D$49*3</f>
        <v>26691.120000000003</v>
      </c>
      <c r="H49" s="60">
        <f>$C$49*$D$49*3</f>
        <v>26691.120000000003</v>
      </c>
      <c r="I49" s="60">
        <f>SUM(E49:H49)</f>
        <v>88970.40000000001</v>
      </c>
    </row>
    <row r="50" spans="1:9" s="67" customFormat="1" ht="12.75">
      <c r="A50" s="89" t="s">
        <v>54</v>
      </c>
      <c r="B50" s="77"/>
      <c r="C50" s="76"/>
      <c r="D50" s="85"/>
      <c r="E50" s="60"/>
      <c r="F50" s="60"/>
      <c r="G50" s="60"/>
      <c r="H50" s="60"/>
      <c r="I50" s="60"/>
    </row>
    <row r="51" spans="1:9" s="67" customFormat="1" ht="25.5">
      <c r="A51" s="84" t="s">
        <v>57</v>
      </c>
      <c r="B51" s="77"/>
      <c r="C51" s="76"/>
      <c r="D51" s="85"/>
      <c r="E51" s="60">
        <v>2745</v>
      </c>
      <c r="F51" s="60">
        <v>8234</v>
      </c>
      <c r="G51" s="60">
        <v>8234</v>
      </c>
      <c r="H51" s="60">
        <v>8234</v>
      </c>
      <c r="I51" s="60">
        <f>SUM(E51:H51)</f>
        <v>27447</v>
      </c>
    </row>
    <row r="52" spans="1:9" s="67" customFormat="1" ht="12.75">
      <c r="A52" s="87" t="s">
        <v>55</v>
      </c>
      <c r="B52" s="80" t="s">
        <v>56</v>
      </c>
      <c r="C52" s="98">
        <f>3+0.936768</f>
        <v>3.936768</v>
      </c>
      <c r="D52" s="90">
        <v>99</v>
      </c>
      <c r="E52" s="60">
        <f>$C$52*$D$52*1</f>
        <v>389.740032</v>
      </c>
      <c r="F52" s="60">
        <f>$C$52*$D$52*3</f>
        <v>1169.220096</v>
      </c>
      <c r="G52" s="60">
        <f>$C$52*$D$52*3</f>
        <v>1169.220096</v>
      </c>
      <c r="H52" s="60">
        <f>$C$52*$D$52*3</f>
        <v>1169.220096</v>
      </c>
      <c r="I52" s="60">
        <f>SUM(E52:H52)</f>
        <v>3897.4003199999997</v>
      </c>
    </row>
    <row r="53" spans="1:9" s="67" customFormat="1" ht="12.75">
      <c r="A53" s="91" t="s">
        <v>20</v>
      </c>
      <c r="B53" s="92"/>
      <c r="C53" s="100"/>
      <c r="D53" s="92"/>
      <c r="E53" s="72">
        <f>SUM(E33:E52)</f>
        <v>57903.836032</v>
      </c>
      <c r="F53" s="72">
        <f>SUM(F33:F52)</f>
        <v>166581.508096</v>
      </c>
      <c r="G53" s="72">
        <f>SUM(G33:G52)</f>
        <v>166196.508096</v>
      </c>
      <c r="H53" s="72">
        <f>SUM(H33:H52)</f>
        <v>166581.508096</v>
      </c>
      <c r="I53" s="72">
        <f>SUM(I33:I52)</f>
        <v>557263.36032</v>
      </c>
    </row>
    <row r="54" spans="1:9" s="67" customFormat="1" ht="12.75">
      <c r="A54" s="62" t="s">
        <v>35</v>
      </c>
      <c r="B54" s="68"/>
      <c r="C54" s="101"/>
      <c r="D54" s="68"/>
      <c r="E54" s="60">
        <v>6193</v>
      </c>
      <c r="F54" s="60">
        <v>18575</v>
      </c>
      <c r="G54" s="60">
        <v>18575</v>
      </c>
      <c r="H54" s="60">
        <v>18575</v>
      </c>
      <c r="I54" s="60">
        <f>SUM(E54:H54)</f>
        <v>61918</v>
      </c>
    </row>
    <row r="55" spans="1:9" s="67" customFormat="1" ht="12.75">
      <c r="A55" s="93" t="s">
        <v>21</v>
      </c>
      <c r="B55" s="68"/>
      <c r="C55" s="101"/>
      <c r="D55" s="68"/>
      <c r="E55" s="94">
        <f>SUM(E53:E54)</f>
        <v>64096.836032</v>
      </c>
      <c r="F55" s="94">
        <f>SUM(F53:F54)</f>
        <v>185156.508096</v>
      </c>
      <c r="G55" s="94">
        <f>SUM(G53:G54)</f>
        <v>184771.508096</v>
      </c>
      <c r="H55" s="94">
        <f>SUM(H53:H54)</f>
        <v>185156.508096</v>
      </c>
      <c r="I55" s="94">
        <f>SUM(I53:I54)</f>
        <v>619181.36032</v>
      </c>
    </row>
    <row r="56" spans="1:9" ht="12.75">
      <c r="A56" s="105" t="s">
        <v>22</v>
      </c>
      <c r="B56" s="105"/>
      <c r="C56" s="105"/>
      <c r="D56" s="105"/>
      <c r="E56" s="105"/>
      <c r="F56" s="105"/>
      <c r="G56" s="105"/>
      <c r="H56" s="105"/>
      <c r="I56" s="106">
        <f>B24-I53</f>
        <v>-0.010320000001229346</v>
      </c>
    </row>
    <row r="58" spans="1:5" ht="12.75">
      <c r="A58" s="103"/>
      <c r="E58" s="104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9">
      <selection activeCell="L34" sqref="L34"/>
    </sheetView>
  </sheetViews>
  <sheetFormatPr defaultColWidth="9.140625" defaultRowHeight="12.75"/>
  <cols>
    <col min="1" max="1" width="51.28125" style="102" customWidth="1"/>
    <col min="2" max="2" width="11.421875" style="102" customWidth="1"/>
    <col min="3" max="8" width="8.57421875" style="102" customWidth="1"/>
    <col min="9" max="9" width="8.8515625" style="102" customWidth="1"/>
    <col min="10" max="16384" width="9.140625" style="102" customWidth="1"/>
  </cols>
  <sheetData>
    <row r="1" spans="1:6" s="63" customFormat="1" ht="12.75">
      <c r="A1" s="63" t="s">
        <v>0</v>
      </c>
      <c r="F1" s="63" t="s">
        <v>0</v>
      </c>
    </row>
    <row r="2" s="63" customFormat="1" ht="12.75">
      <c r="H2" s="65"/>
    </row>
    <row r="3" spans="1:6" s="63" customFormat="1" ht="12.75">
      <c r="A3" s="66" t="s">
        <v>1</v>
      </c>
      <c r="F3" s="64" t="s">
        <v>2</v>
      </c>
    </row>
    <row r="4" s="63" customFormat="1" ht="12.75">
      <c r="H4" s="65"/>
    </row>
    <row r="6" spans="1:8" s="63" customFormat="1" ht="12.75">
      <c r="A6" s="66" t="s">
        <v>3</v>
      </c>
      <c r="F6" s="63" t="s">
        <v>34</v>
      </c>
      <c r="H6" s="65"/>
    </row>
    <row r="7" spans="1:8" s="67" customFormat="1" ht="12.75">
      <c r="A7" s="66"/>
      <c r="B7" s="63"/>
      <c r="C7" s="63"/>
      <c r="D7" s="63"/>
      <c r="E7" s="63"/>
      <c r="F7" s="63"/>
      <c r="G7" s="5"/>
      <c r="H7" s="95"/>
    </row>
    <row r="8" spans="1:8" s="67" customFormat="1" ht="12.75">
      <c r="A8" s="96" t="s">
        <v>3</v>
      </c>
      <c r="H8" s="95"/>
    </row>
    <row r="9" spans="1:8" s="67" customFormat="1" ht="12.75">
      <c r="A9" s="96"/>
      <c r="H9" s="95"/>
    </row>
    <row r="10" spans="1:8" s="67" customFormat="1" ht="12.75">
      <c r="A10" s="96"/>
      <c r="H10" s="95"/>
    </row>
    <row r="13" spans="1:9" s="67" customFormat="1" ht="12.7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</row>
    <row r="14" spans="1:9" s="67" customFormat="1" ht="12.75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</row>
    <row r="15" spans="1:9" s="67" customFormat="1" ht="12.75">
      <c r="A15" s="115" t="s">
        <v>127</v>
      </c>
      <c r="B15" s="115"/>
      <c r="C15" s="115"/>
      <c r="D15" s="115"/>
      <c r="E15" s="115"/>
      <c r="F15" s="115"/>
      <c r="G15" s="115"/>
      <c r="H15" s="115"/>
      <c r="I15" s="115"/>
    </row>
    <row r="17" spans="1:2" s="67" customFormat="1" ht="51">
      <c r="A17" s="68"/>
      <c r="B17" s="69" t="s">
        <v>33</v>
      </c>
    </row>
    <row r="18" spans="1:2" s="67" customFormat="1" ht="12.75">
      <c r="A18" s="70" t="s">
        <v>120</v>
      </c>
      <c r="B18" s="60">
        <v>0</v>
      </c>
    </row>
    <row r="19" spans="1:2" s="67" customFormat="1" ht="25.5">
      <c r="A19" s="61" t="s">
        <v>24</v>
      </c>
      <c r="B19" s="60">
        <v>294981</v>
      </c>
    </row>
    <row r="20" spans="1:2" s="67" customFormat="1" ht="25.5">
      <c r="A20" s="61" t="s">
        <v>25</v>
      </c>
      <c r="B20" s="60">
        <v>23760</v>
      </c>
    </row>
    <row r="21" spans="1:2" s="67" customFormat="1" ht="12.75">
      <c r="A21" s="61" t="s">
        <v>27</v>
      </c>
      <c r="B21" s="60">
        <v>80694</v>
      </c>
    </row>
    <row r="22" spans="1:2" s="67" customFormat="1" ht="12.75">
      <c r="A22" s="62" t="s">
        <v>35</v>
      </c>
      <c r="B22" s="60">
        <f>(B19++B20+B21)*10%</f>
        <v>39943.5</v>
      </c>
    </row>
    <row r="23" spans="1:2" s="67" customFormat="1" ht="12.75">
      <c r="A23" s="71" t="s">
        <v>28</v>
      </c>
      <c r="B23" s="72">
        <f>B18+B20+B19+B21-B22</f>
        <v>359491.5</v>
      </c>
    </row>
    <row r="24" spans="1:2" s="67" customFormat="1" ht="12.75">
      <c r="A24" s="61" t="s">
        <v>29</v>
      </c>
      <c r="B24" s="82">
        <v>6.58</v>
      </c>
    </row>
    <row r="25" spans="1:2" s="67" customFormat="1" ht="25.5">
      <c r="A25" s="61" t="s">
        <v>30</v>
      </c>
      <c r="B25" s="82">
        <v>0.53</v>
      </c>
    </row>
    <row r="26" spans="1:2" s="67" customFormat="1" ht="12.75">
      <c r="A26" s="70" t="s">
        <v>6</v>
      </c>
      <c r="B26" s="82">
        <v>1.8</v>
      </c>
    </row>
    <row r="27" spans="1:2" s="67" customFormat="1" ht="12.75">
      <c r="A27" s="73"/>
      <c r="B27" s="74"/>
    </row>
    <row r="28" spans="1:9" s="67" customFormat="1" ht="27" customHeight="1">
      <c r="A28" s="116" t="s">
        <v>7</v>
      </c>
      <c r="B28" s="117" t="s">
        <v>8</v>
      </c>
      <c r="C28" s="116" t="s">
        <v>9</v>
      </c>
      <c r="D28" s="117" t="s">
        <v>10</v>
      </c>
      <c r="E28" s="118" t="s">
        <v>11</v>
      </c>
      <c r="F28" s="119"/>
      <c r="G28" s="119"/>
      <c r="H28" s="120"/>
      <c r="I28" s="116" t="s">
        <v>12</v>
      </c>
    </row>
    <row r="29" spans="1:9" s="67" customFormat="1" ht="12.75">
      <c r="A29" s="117"/>
      <c r="B29" s="117"/>
      <c r="C29" s="117"/>
      <c r="D29" s="117"/>
      <c r="E29" s="76" t="s">
        <v>13</v>
      </c>
      <c r="F29" s="77" t="s">
        <v>14</v>
      </c>
      <c r="G29" s="77" t="s">
        <v>15</v>
      </c>
      <c r="H29" s="77" t="s">
        <v>16</v>
      </c>
      <c r="I29" s="117"/>
    </row>
    <row r="30" spans="1:9" s="67" customFormat="1" ht="12.75">
      <c r="A30" s="78" t="s">
        <v>36</v>
      </c>
      <c r="B30" s="75"/>
      <c r="C30" s="75"/>
      <c r="D30" s="75"/>
      <c r="E30" s="76"/>
      <c r="F30" s="77"/>
      <c r="G30" s="77"/>
      <c r="H30" s="77"/>
      <c r="I30" s="75"/>
    </row>
    <row r="31" spans="1:9" s="67" customFormat="1" ht="12.75">
      <c r="A31" s="79" t="s">
        <v>37</v>
      </c>
      <c r="B31" s="80"/>
      <c r="C31" s="97"/>
      <c r="D31" s="76"/>
      <c r="E31" s="60">
        <v>1000</v>
      </c>
      <c r="F31" s="60">
        <v>3000</v>
      </c>
      <c r="G31" s="60">
        <v>3000</v>
      </c>
      <c r="H31" s="60">
        <v>3000</v>
      </c>
      <c r="I31" s="60">
        <f aca="true" t="shared" si="0" ref="I31:I44">SUM(E31:H31)</f>
        <v>10000</v>
      </c>
    </row>
    <row r="32" spans="1:9" s="67" customFormat="1" ht="25.5">
      <c r="A32" s="81" t="s">
        <v>38</v>
      </c>
      <c r="B32" s="80" t="s">
        <v>17</v>
      </c>
      <c r="C32" s="97">
        <v>0.52</v>
      </c>
      <c r="D32" s="88">
        <v>4483</v>
      </c>
      <c r="E32" s="60">
        <f>$C$32*$D$32*1</f>
        <v>2331.16</v>
      </c>
      <c r="F32" s="60">
        <f>$C$32*$D$32*3</f>
        <v>6993.48</v>
      </c>
      <c r="G32" s="60">
        <f>$C$32*$D$32*3</f>
        <v>6993.48</v>
      </c>
      <c r="H32" s="60">
        <f>$C$32*$D$32*3</f>
        <v>6993.48</v>
      </c>
      <c r="I32" s="60">
        <f t="shared" si="0"/>
        <v>23311.6</v>
      </c>
    </row>
    <row r="33" spans="1:9" s="67" customFormat="1" ht="25.5">
      <c r="A33" s="81" t="s">
        <v>39</v>
      </c>
      <c r="B33" s="80" t="s">
        <v>17</v>
      </c>
      <c r="C33" s="97">
        <v>0.87</v>
      </c>
      <c r="D33" s="88">
        <v>4483</v>
      </c>
      <c r="E33" s="60">
        <f>$C$33*$D$33*1</f>
        <v>3900.21</v>
      </c>
      <c r="F33" s="60">
        <f>$C$33*$D$33*3</f>
        <v>11700.630000000001</v>
      </c>
      <c r="G33" s="60">
        <f>$C$33*$D$33*3</f>
        <v>11700.630000000001</v>
      </c>
      <c r="H33" s="60">
        <f>$C$33*$D$33*3</f>
        <v>11700.630000000001</v>
      </c>
      <c r="I33" s="60">
        <f t="shared" si="0"/>
        <v>39002.100000000006</v>
      </c>
    </row>
    <row r="34" spans="1:9" s="67" customFormat="1" ht="25.5">
      <c r="A34" s="79" t="s">
        <v>40</v>
      </c>
      <c r="B34" s="80" t="s">
        <v>17</v>
      </c>
      <c r="C34" s="97">
        <v>0.31</v>
      </c>
      <c r="D34" s="88">
        <v>4483</v>
      </c>
      <c r="E34" s="60">
        <f>$C$34*$D$34*1</f>
        <v>1389.73</v>
      </c>
      <c r="F34" s="60">
        <f>$C$34*$D$34*3</f>
        <v>4169.1900000000005</v>
      </c>
      <c r="G34" s="60">
        <f>$C$34*$D$34*3</f>
        <v>4169.1900000000005</v>
      </c>
      <c r="H34" s="60">
        <f>$C$34*$D$34*3</f>
        <v>4169.1900000000005</v>
      </c>
      <c r="I34" s="60">
        <f t="shared" si="0"/>
        <v>13897.300000000001</v>
      </c>
    </row>
    <row r="35" spans="1:9" s="67" customFormat="1" ht="25.5">
      <c r="A35" s="81" t="s">
        <v>41</v>
      </c>
      <c r="B35" s="80" t="s">
        <v>17</v>
      </c>
      <c r="C35" s="98">
        <v>0.3</v>
      </c>
      <c r="D35" s="88">
        <v>4483</v>
      </c>
      <c r="E35" s="60">
        <f>$C$35*$D$35*1</f>
        <v>1344.8999999999999</v>
      </c>
      <c r="F35" s="60">
        <f>$C$35*$D$35*3</f>
        <v>4034.7</v>
      </c>
      <c r="G35" s="60">
        <f>$C$35*$D$35*3</f>
        <v>4034.7</v>
      </c>
      <c r="H35" s="60">
        <f>$C$35*$D$35*3</f>
        <v>4034.7</v>
      </c>
      <c r="I35" s="60">
        <f t="shared" si="0"/>
        <v>13449</v>
      </c>
    </row>
    <row r="36" spans="1:9" s="67" customFormat="1" ht="25.5">
      <c r="A36" s="83" t="s">
        <v>42</v>
      </c>
      <c r="B36" s="76"/>
      <c r="C36" s="76"/>
      <c r="D36" s="76"/>
      <c r="E36" s="60">
        <v>3000</v>
      </c>
      <c r="F36" s="60">
        <v>10000</v>
      </c>
      <c r="G36" s="60">
        <v>10000</v>
      </c>
      <c r="H36" s="60">
        <v>10000</v>
      </c>
      <c r="I36" s="60">
        <f t="shared" si="0"/>
        <v>33000</v>
      </c>
    </row>
    <row r="37" spans="1:10" s="67" customFormat="1" ht="25.5">
      <c r="A37" s="84" t="s">
        <v>43</v>
      </c>
      <c r="B37" s="80" t="s">
        <v>17</v>
      </c>
      <c r="C37" s="97">
        <v>0.95</v>
      </c>
      <c r="D37" s="88">
        <v>4483</v>
      </c>
      <c r="E37" s="60">
        <f>$C$37*$D$37*1</f>
        <v>4258.849999999999</v>
      </c>
      <c r="F37" s="60">
        <f>$C$37*$D$37*3</f>
        <v>12776.55</v>
      </c>
      <c r="G37" s="60">
        <f>$C$37*$D$37*3</f>
        <v>12776.55</v>
      </c>
      <c r="H37" s="60">
        <f>$C$37*$D$37*3</f>
        <v>12776.55</v>
      </c>
      <c r="I37" s="60">
        <f t="shared" si="0"/>
        <v>42588.5</v>
      </c>
      <c r="J37" s="99"/>
    </row>
    <row r="38" spans="1:9" s="67" customFormat="1" ht="25.5">
      <c r="A38" s="84" t="s">
        <v>44</v>
      </c>
      <c r="B38" s="80" t="s">
        <v>17</v>
      </c>
      <c r="C38" s="97">
        <v>0.55</v>
      </c>
      <c r="D38" s="88">
        <v>4483</v>
      </c>
      <c r="E38" s="60">
        <f>$C$38*$D$38*1</f>
        <v>2465.65</v>
      </c>
      <c r="F38" s="60">
        <f>$C$38*$D$38*3</f>
        <v>7396.950000000001</v>
      </c>
      <c r="G38" s="60">
        <f>$C$38*$D$38*3</f>
        <v>7396.950000000001</v>
      </c>
      <c r="H38" s="60">
        <f>$C$38*$D$38*3</f>
        <v>7396.950000000001</v>
      </c>
      <c r="I38" s="60">
        <f t="shared" si="0"/>
        <v>24656.500000000004</v>
      </c>
    </row>
    <row r="39" spans="1:9" s="67" customFormat="1" ht="25.5">
      <c r="A39" s="84" t="s">
        <v>75</v>
      </c>
      <c r="B39" s="76"/>
      <c r="C39" s="76"/>
      <c r="D39" s="76"/>
      <c r="E39" s="60">
        <v>4000</v>
      </c>
      <c r="F39" s="60">
        <v>2000</v>
      </c>
      <c r="G39" s="60">
        <v>1668</v>
      </c>
      <c r="H39" s="60">
        <v>1000</v>
      </c>
      <c r="I39" s="60">
        <f t="shared" si="0"/>
        <v>8668</v>
      </c>
    </row>
    <row r="40" spans="1:9" s="67" customFormat="1" ht="12.75">
      <c r="A40" s="79" t="s">
        <v>76</v>
      </c>
      <c r="B40" s="77" t="s">
        <v>19</v>
      </c>
      <c r="C40" s="76">
        <v>1</v>
      </c>
      <c r="D40" s="85">
        <v>750</v>
      </c>
      <c r="E40" s="60"/>
      <c r="F40" s="60">
        <f>C40*D40/2</f>
        <v>375</v>
      </c>
      <c r="G40" s="60"/>
      <c r="H40" s="60">
        <f>C40/2*D40</f>
        <v>375</v>
      </c>
      <c r="I40" s="60">
        <f t="shared" si="0"/>
        <v>750</v>
      </c>
    </row>
    <row r="41" spans="1:9" s="67" customFormat="1" ht="12.75">
      <c r="A41" s="86" t="s">
        <v>83</v>
      </c>
      <c r="B41" s="77"/>
      <c r="C41" s="76"/>
      <c r="D41" s="85"/>
      <c r="E41" s="60"/>
      <c r="F41" s="60"/>
      <c r="G41" s="60"/>
      <c r="H41" s="60"/>
      <c r="I41" s="60"/>
    </row>
    <row r="42" spans="1:9" s="67" customFormat="1" ht="25.5">
      <c r="A42" s="87" t="s">
        <v>82</v>
      </c>
      <c r="B42" s="80" t="s">
        <v>17</v>
      </c>
      <c r="C42" s="98">
        <v>0.7</v>
      </c>
      <c r="D42" s="88">
        <v>4483</v>
      </c>
      <c r="E42" s="60">
        <f>$C$42*$D$42*1</f>
        <v>3138.1</v>
      </c>
      <c r="F42" s="60">
        <f>$C$42*$D$42*3</f>
        <v>9414.3</v>
      </c>
      <c r="G42" s="60">
        <f>$C$42*$D$42*3</f>
        <v>9414.3</v>
      </c>
      <c r="H42" s="60">
        <f>$C$42*$D$42*3</f>
        <v>9414.3</v>
      </c>
      <c r="I42" s="60">
        <f t="shared" si="0"/>
        <v>31380.999999999996</v>
      </c>
    </row>
    <row r="43" spans="1:9" s="67" customFormat="1" ht="12.75">
      <c r="A43" s="86" t="s">
        <v>94</v>
      </c>
      <c r="B43" s="77"/>
      <c r="C43" s="76"/>
      <c r="D43" s="88"/>
      <c r="E43" s="60"/>
      <c r="F43" s="60"/>
      <c r="G43" s="60"/>
      <c r="H43" s="60"/>
      <c r="I43" s="60"/>
    </row>
    <row r="44" spans="1:9" s="67" customFormat="1" ht="25.5">
      <c r="A44" s="79" t="s">
        <v>95</v>
      </c>
      <c r="B44" s="80" t="s">
        <v>17</v>
      </c>
      <c r="C44" s="76">
        <v>0.48</v>
      </c>
      <c r="D44" s="88">
        <v>4483</v>
      </c>
      <c r="E44" s="60">
        <f>$C$44*$D$44*1</f>
        <v>2151.84</v>
      </c>
      <c r="F44" s="60">
        <f>$C$44*$D$44*3</f>
        <v>6455.52</v>
      </c>
      <c r="G44" s="60">
        <f>$C$44*$D$44*3</f>
        <v>6455.52</v>
      </c>
      <c r="H44" s="60">
        <f>$C$44*$D$44*3</f>
        <v>6455.52</v>
      </c>
      <c r="I44" s="60">
        <f t="shared" si="0"/>
        <v>21518.4</v>
      </c>
    </row>
    <row r="45" spans="1:9" s="67" customFormat="1" ht="12.75">
      <c r="A45" s="86" t="s">
        <v>52</v>
      </c>
      <c r="B45" s="77"/>
      <c r="C45" s="76"/>
      <c r="D45" s="85"/>
      <c r="E45" s="60"/>
      <c r="F45" s="60"/>
      <c r="G45" s="60"/>
      <c r="H45" s="60"/>
      <c r="I45" s="60"/>
    </row>
    <row r="46" spans="1:9" s="67" customFormat="1" ht="25.5">
      <c r="A46" s="79" t="s">
        <v>53</v>
      </c>
      <c r="B46" s="80" t="s">
        <v>17</v>
      </c>
      <c r="C46" s="76">
        <v>1.62</v>
      </c>
      <c r="D46" s="88">
        <v>4483</v>
      </c>
      <c r="E46" s="60">
        <f>$C$46*$D$46*1</f>
        <v>7262.46</v>
      </c>
      <c r="F46" s="60">
        <f>$C$46*$D$46*3</f>
        <v>21787.38</v>
      </c>
      <c r="G46" s="60">
        <f>$C$46*$D$46*3</f>
        <v>21787.38</v>
      </c>
      <c r="H46" s="60">
        <f>$C$46*$D$46*3</f>
        <v>21787.38</v>
      </c>
      <c r="I46" s="60">
        <f>SUM(E46:H46)</f>
        <v>72624.6</v>
      </c>
    </row>
    <row r="47" spans="1:9" s="67" customFormat="1" ht="12.75">
      <c r="A47" s="89" t="s">
        <v>54</v>
      </c>
      <c r="B47" s="77"/>
      <c r="C47" s="76"/>
      <c r="D47" s="85"/>
      <c r="E47" s="60"/>
      <c r="F47" s="60"/>
      <c r="G47" s="60"/>
      <c r="H47" s="60"/>
      <c r="I47" s="60"/>
    </row>
    <row r="48" spans="1:9" s="67" customFormat="1" ht="25.5">
      <c r="A48" s="84" t="s">
        <v>57</v>
      </c>
      <c r="B48" s="77"/>
      <c r="C48" s="76"/>
      <c r="D48" s="85"/>
      <c r="E48" s="60">
        <v>2075</v>
      </c>
      <c r="F48" s="60">
        <v>6224</v>
      </c>
      <c r="G48" s="60">
        <v>6224</v>
      </c>
      <c r="H48" s="60">
        <v>6224</v>
      </c>
      <c r="I48" s="60">
        <f>SUM(E48:H48)</f>
        <v>20747</v>
      </c>
    </row>
    <row r="49" spans="1:9" s="67" customFormat="1" ht="12.75">
      <c r="A49" s="87" t="s">
        <v>55</v>
      </c>
      <c r="B49" s="80" t="s">
        <v>56</v>
      </c>
      <c r="C49" s="98">
        <f>3+0.936768</f>
        <v>3.936768</v>
      </c>
      <c r="D49" s="90">
        <v>99</v>
      </c>
      <c r="E49" s="60">
        <f>$C$49*$D$49*1</f>
        <v>389.740032</v>
      </c>
      <c r="F49" s="60">
        <f>$C$49*$D$49*3</f>
        <v>1169.220096</v>
      </c>
      <c r="G49" s="60">
        <f>$C$49*$D$49*3</f>
        <v>1169.220096</v>
      </c>
      <c r="H49" s="60">
        <f>$C$49*$D$49*3</f>
        <v>1169.220096</v>
      </c>
      <c r="I49" s="60">
        <f>SUM(E49:H49)</f>
        <v>3897.4003199999997</v>
      </c>
    </row>
    <row r="50" spans="1:9" s="67" customFormat="1" ht="12.75">
      <c r="A50" s="91" t="s">
        <v>20</v>
      </c>
      <c r="B50" s="92"/>
      <c r="C50" s="100"/>
      <c r="D50" s="92"/>
      <c r="E50" s="72">
        <f>SUM(E31:E49)</f>
        <v>38707.640032</v>
      </c>
      <c r="F50" s="72">
        <f>SUM(F31:F49)</f>
        <v>107496.92009600002</v>
      </c>
      <c r="G50" s="72">
        <f>SUM(G31:G49)</f>
        <v>106789.92009600002</v>
      </c>
      <c r="H50" s="72">
        <f>SUM(H31:H49)</f>
        <v>106496.92009600002</v>
      </c>
      <c r="I50" s="72">
        <f>SUM(I31:I49)</f>
        <v>359491.40032</v>
      </c>
    </row>
    <row r="51" spans="1:9" s="67" customFormat="1" ht="12.75">
      <c r="A51" s="62" t="s">
        <v>35</v>
      </c>
      <c r="B51" s="68"/>
      <c r="C51" s="101"/>
      <c r="D51" s="68"/>
      <c r="E51" s="60">
        <v>3995</v>
      </c>
      <c r="F51" s="60">
        <v>11983</v>
      </c>
      <c r="G51" s="60">
        <v>11983</v>
      </c>
      <c r="H51" s="60">
        <v>11983</v>
      </c>
      <c r="I51" s="60">
        <f>SUM(E51:H51)</f>
        <v>39944</v>
      </c>
    </row>
    <row r="52" spans="1:9" s="67" customFormat="1" ht="12.75">
      <c r="A52" s="93" t="s">
        <v>21</v>
      </c>
      <c r="B52" s="68"/>
      <c r="C52" s="101"/>
      <c r="D52" s="68"/>
      <c r="E52" s="94">
        <f>SUM(E50:E51)</f>
        <v>42702.640032</v>
      </c>
      <c r="F52" s="94">
        <f>SUM(F50:F51)</f>
        <v>119479.92009600002</v>
      </c>
      <c r="G52" s="94">
        <f>SUM(G50:G51)</f>
        <v>118772.92009600002</v>
      </c>
      <c r="H52" s="94">
        <f>SUM(H50:H51)</f>
        <v>118479.92009600002</v>
      </c>
      <c r="I52" s="94">
        <f>SUM(I50:I51)</f>
        <v>399435.40032</v>
      </c>
    </row>
    <row r="53" spans="1:9" ht="12.75">
      <c r="A53" s="105" t="s">
        <v>22</v>
      </c>
      <c r="B53" s="105"/>
      <c r="C53" s="105"/>
      <c r="D53" s="105"/>
      <c r="E53" s="105"/>
      <c r="F53" s="105"/>
      <c r="G53" s="105"/>
      <c r="H53" s="105"/>
      <c r="I53" s="106">
        <f>B23-I50</f>
        <v>0.09967999998480082</v>
      </c>
    </row>
    <row r="55" ht="12.75">
      <c r="E55" s="104"/>
    </row>
  </sheetData>
  <mergeCells count="9">
    <mergeCell ref="A13:I13"/>
    <mergeCell ref="A14:I14"/>
    <mergeCell ref="A15:I15"/>
    <mergeCell ref="A28:A29"/>
    <mergeCell ref="B28:B29"/>
    <mergeCell ref="C28:C29"/>
    <mergeCell ref="D28:D29"/>
    <mergeCell ref="E28:H28"/>
    <mergeCell ref="I28:I2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31">
      <selection activeCell="L57" sqref="L57"/>
    </sheetView>
  </sheetViews>
  <sheetFormatPr defaultColWidth="9.140625" defaultRowHeight="12.75"/>
  <cols>
    <col min="1" max="1" width="51.28125" style="102" customWidth="1"/>
    <col min="2" max="2" width="11.421875" style="102" customWidth="1"/>
    <col min="3" max="9" width="8.57421875" style="102" customWidth="1"/>
    <col min="10" max="16384" width="9.140625" style="102" customWidth="1"/>
  </cols>
  <sheetData>
    <row r="1" spans="1:6" s="63" customFormat="1" ht="12.75">
      <c r="A1" s="63" t="s">
        <v>0</v>
      </c>
      <c r="F1" s="63" t="s">
        <v>0</v>
      </c>
    </row>
    <row r="2" s="63" customFormat="1" ht="12.75">
      <c r="H2" s="65"/>
    </row>
    <row r="3" spans="1:6" s="63" customFormat="1" ht="12.75">
      <c r="A3" s="66" t="s">
        <v>1</v>
      </c>
      <c r="F3" s="64" t="s">
        <v>2</v>
      </c>
    </row>
    <row r="4" s="63" customFormat="1" ht="12.75">
      <c r="H4" s="65"/>
    </row>
    <row r="6" spans="1:8" s="63" customFormat="1" ht="12.75">
      <c r="A6" s="66" t="s">
        <v>3</v>
      </c>
      <c r="F6" s="63" t="s">
        <v>34</v>
      </c>
      <c r="H6" s="65"/>
    </row>
    <row r="7" spans="1:8" s="67" customFormat="1" ht="12.75">
      <c r="A7" s="66"/>
      <c r="B7" s="63"/>
      <c r="C7" s="63"/>
      <c r="D7" s="63"/>
      <c r="E7" s="63"/>
      <c r="F7" s="63"/>
      <c r="G7" s="5"/>
      <c r="H7" s="95"/>
    </row>
    <row r="8" spans="1:8" s="67" customFormat="1" ht="12.75">
      <c r="A8" s="96" t="s">
        <v>3</v>
      </c>
      <c r="H8" s="95"/>
    </row>
    <row r="9" spans="1:8" s="67" customFormat="1" ht="12.75">
      <c r="A9" s="96"/>
      <c r="H9" s="95"/>
    </row>
    <row r="10" spans="1:8" s="67" customFormat="1" ht="12.75">
      <c r="A10" s="96"/>
      <c r="H10" s="95"/>
    </row>
    <row r="13" spans="1:9" s="67" customFormat="1" ht="12.7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</row>
    <row r="14" spans="1:9" s="67" customFormat="1" ht="12.75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</row>
    <row r="15" spans="1:9" s="67" customFormat="1" ht="12.75">
      <c r="A15" s="115" t="s">
        <v>128</v>
      </c>
      <c r="B15" s="115"/>
      <c r="C15" s="115"/>
      <c r="D15" s="115"/>
      <c r="E15" s="115"/>
      <c r="F15" s="115"/>
      <c r="G15" s="115"/>
      <c r="H15" s="115"/>
      <c r="I15" s="115"/>
    </row>
    <row r="17" spans="1:2" s="67" customFormat="1" ht="51">
      <c r="A17" s="68"/>
      <c r="B17" s="69" t="s">
        <v>33</v>
      </c>
    </row>
    <row r="18" spans="1:2" s="67" customFormat="1" ht="12.75">
      <c r="A18" s="70" t="s">
        <v>125</v>
      </c>
      <c r="B18" s="60">
        <v>0</v>
      </c>
    </row>
    <row r="19" spans="1:2" s="67" customFormat="1" ht="25.5">
      <c r="A19" s="61" t="s">
        <v>24</v>
      </c>
      <c r="B19" s="60">
        <v>179436</v>
      </c>
    </row>
    <row r="20" spans="1:2" s="67" customFormat="1" ht="25.5">
      <c r="A20" s="61" t="s">
        <v>25</v>
      </c>
      <c r="B20" s="60">
        <v>19248</v>
      </c>
    </row>
    <row r="21" spans="1:2" s="67" customFormat="1" ht="25.5">
      <c r="A21" s="61" t="s">
        <v>26</v>
      </c>
      <c r="B21" s="60">
        <v>64901</v>
      </c>
    </row>
    <row r="22" spans="1:2" s="67" customFormat="1" ht="12.75">
      <c r="A22" s="61" t="s">
        <v>27</v>
      </c>
      <c r="B22" s="60">
        <v>65370</v>
      </c>
    </row>
    <row r="23" spans="1:2" s="67" customFormat="1" ht="12.75">
      <c r="A23" s="62" t="s">
        <v>35</v>
      </c>
      <c r="B23" s="60">
        <f>(B19+B20+B21+B22)*10%</f>
        <v>32895.5</v>
      </c>
    </row>
    <row r="24" spans="1:2" s="67" customFormat="1" ht="12.75">
      <c r="A24" s="71" t="s">
        <v>28</v>
      </c>
      <c r="B24" s="72">
        <f>B18+B19+B20+B21+B22-B23</f>
        <v>296059.5</v>
      </c>
    </row>
    <row r="25" spans="1:2" s="67" customFormat="1" ht="12.75">
      <c r="A25" s="61" t="s">
        <v>29</v>
      </c>
      <c r="B25" s="82">
        <v>5.03</v>
      </c>
    </row>
    <row r="26" spans="1:2" s="67" customFormat="1" ht="25.5">
      <c r="A26" s="61" t="s">
        <v>30</v>
      </c>
      <c r="B26" s="82">
        <v>0.53</v>
      </c>
    </row>
    <row r="27" spans="1:2" s="67" customFormat="1" ht="25.5">
      <c r="A27" s="61" t="s">
        <v>31</v>
      </c>
      <c r="B27" s="82">
        <v>1.9</v>
      </c>
    </row>
    <row r="28" spans="1:2" s="67" customFormat="1" ht="12.75">
      <c r="A28" s="70" t="s">
        <v>6</v>
      </c>
      <c r="B28" s="82">
        <v>1.8</v>
      </c>
    </row>
    <row r="29" spans="1:2" s="67" customFormat="1" ht="12.75">
      <c r="A29" s="73"/>
      <c r="B29" s="74"/>
    </row>
    <row r="30" spans="1:9" s="67" customFormat="1" ht="27" customHeight="1">
      <c r="A30" s="116" t="s">
        <v>7</v>
      </c>
      <c r="B30" s="117" t="s">
        <v>8</v>
      </c>
      <c r="C30" s="116" t="s">
        <v>9</v>
      </c>
      <c r="D30" s="117" t="s">
        <v>10</v>
      </c>
      <c r="E30" s="118" t="s">
        <v>11</v>
      </c>
      <c r="F30" s="119"/>
      <c r="G30" s="119"/>
      <c r="H30" s="120"/>
      <c r="I30" s="116" t="s">
        <v>12</v>
      </c>
    </row>
    <row r="31" spans="1:9" s="67" customFormat="1" ht="12.75">
      <c r="A31" s="117"/>
      <c r="B31" s="117"/>
      <c r="C31" s="117"/>
      <c r="D31" s="117"/>
      <c r="E31" s="76" t="s">
        <v>13</v>
      </c>
      <c r="F31" s="77" t="s">
        <v>14</v>
      </c>
      <c r="G31" s="77" t="s">
        <v>15</v>
      </c>
      <c r="H31" s="77" t="s">
        <v>16</v>
      </c>
      <c r="I31" s="117"/>
    </row>
    <row r="32" spans="1:9" s="67" customFormat="1" ht="12.75">
      <c r="A32" s="78" t="s">
        <v>36</v>
      </c>
      <c r="B32" s="75"/>
      <c r="C32" s="75"/>
      <c r="D32" s="75"/>
      <c r="E32" s="76"/>
      <c r="F32" s="77"/>
      <c r="G32" s="77"/>
      <c r="H32" s="77"/>
      <c r="I32" s="75"/>
    </row>
    <row r="33" spans="1:9" s="67" customFormat="1" ht="12.75">
      <c r="A33" s="79" t="s">
        <v>37</v>
      </c>
      <c r="B33" s="80"/>
      <c r="C33" s="97"/>
      <c r="D33" s="76"/>
      <c r="E33" s="60"/>
      <c r="F33" s="60">
        <v>2000</v>
      </c>
      <c r="G33" s="60">
        <v>2000</v>
      </c>
      <c r="H33" s="60">
        <v>2000</v>
      </c>
      <c r="I33" s="60">
        <f aca="true" t="shared" si="0" ref="I33:I43">SUM(E33:H33)</f>
        <v>6000</v>
      </c>
    </row>
    <row r="34" spans="1:9" s="67" customFormat="1" ht="25.5">
      <c r="A34" s="81" t="s">
        <v>38</v>
      </c>
      <c r="B34" s="80" t="s">
        <v>17</v>
      </c>
      <c r="C34" s="97">
        <v>0.42</v>
      </c>
      <c r="D34" s="88">
        <f>3795.4+239.8</f>
        <v>4035.2000000000003</v>
      </c>
      <c r="E34" s="60"/>
      <c r="F34" s="60">
        <f>$C$34*$D$34*3</f>
        <v>5084.352000000001</v>
      </c>
      <c r="G34" s="60">
        <f>$C$34*$D$34*3</f>
        <v>5084.352000000001</v>
      </c>
      <c r="H34" s="60">
        <f>$C$34*$D$34*3</f>
        <v>5084.352000000001</v>
      </c>
      <c r="I34" s="60">
        <f t="shared" si="0"/>
        <v>15253.056000000002</v>
      </c>
    </row>
    <row r="35" spans="1:9" s="67" customFormat="1" ht="25.5">
      <c r="A35" s="81" t="s">
        <v>39</v>
      </c>
      <c r="B35" s="80" t="s">
        <v>17</v>
      </c>
      <c r="C35" s="97">
        <v>0.71</v>
      </c>
      <c r="D35" s="88">
        <f>3795.4+239.8</f>
        <v>4035.2000000000003</v>
      </c>
      <c r="E35" s="60"/>
      <c r="F35" s="60">
        <f>$C$35*$D$35*3</f>
        <v>8594.976</v>
      </c>
      <c r="G35" s="60">
        <f>$C$35*$D$35*3</f>
        <v>8594.976</v>
      </c>
      <c r="H35" s="60">
        <f>$C$35*$D$35*3</f>
        <v>8594.976</v>
      </c>
      <c r="I35" s="60">
        <f t="shared" si="0"/>
        <v>25784.928</v>
      </c>
    </row>
    <row r="36" spans="1:9" s="67" customFormat="1" ht="25.5">
      <c r="A36" s="79" t="s">
        <v>40</v>
      </c>
      <c r="B36" s="80" t="s">
        <v>17</v>
      </c>
      <c r="C36" s="97">
        <v>0.25</v>
      </c>
      <c r="D36" s="88">
        <f>3795.4+239.8</f>
        <v>4035.2000000000003</v>
      </c>
      <c r="E36" s="60"/>
      <c r="F36" s="60">
        <f>$C$36*$D$36*3</f>
        <v>3026.4</v>
      </c>
      <c r="G36" s="60">
        <f>$C$36*$D$36*3</f>
        <v>3026.4</v>
      </c>
      <c r="H36" s="60">
        <f>$C$36*$D$36*3</f>
        <v>3026.4</v>
      </c>
      <c r="I36" s="60">
        <f t="shared" si="0"/>
        <v>9079.2</v>
      </c>
    </row>
    <row r="37" spans="1:9" s="67" customFormat="1" ht="25.5">
      <c r="A37" s="81" t="s">
        <v>41</v>
      </c>
      <c r="B37" s="80" t="s">
        <v>17</v>
      </c>
      <c r="C37" s="98">
        <v>0.3</v>
      </c>
      <c r="D37" s="88">
        <f>3795.4+239.8</f>
        <v>4035.2000000000003</v>
      </c>
      <c r="E37" s="60"/>
      <c r="F37" s="60">
        <f>$C$37*$D$37*3</f>
        <v>3631.68</v>
      </c>
      <c r="G37" s="60">
        <f>$C$37*$D$37*3</f>
        <v>3631.68</v>
      </c>
      <c r="H37" s="60">
        <f>$C$37*$D$37*3</f>
        <v>3631.68</v>
      </c>
      <c r="I37" s="60">
        <f t="shared" si="0"/>
        <v>10895.039999999999</v>
      </c>
    </row>
    <row r="38" spans="1:9" s="67" customFormat="1" ht="25.5">
      <c r="A38" s="83" t="s">
        <v>42</v>
      </c>
      <c r="B38" s="76"/>
      <c r="C38" s="76"/>
      <c r="D38" s="76"/>
      <c r="E38" s="60"/>
      <c r="F38" s="60">
        <v>6000</v>
      </c>
      <c r="G38" s="60">
        <v>6000</v>
      </c>
      <c r="H38" s="60">
        <v>6000</v>
      </c>
      <c r="I38" s="60">
        <f t="shared" si="0"/>
        <v>18000</v>
      </c>
    </row>
    <row r="39" spans="1:10" s="67" customFormat="1" ht="25.5">
      <c r="A39" s="84" t="s">
        <v>43</v>
      </c>
      <c r="B39" s="80" t="s">
        <v>17</v>
      </c>
      <c r="C39" s="97">
        <v>0.85</v>
      </c>
      <c r="D39" s="88">
        <f>3795.4+239.8-220.6</f>
        <v>3814.6000000000004</v>
      </c>
      <c r="E39" s="60"/>
      <c r="F39" s="60">
        <f>$C$39*$D$39*3</f>
        <v>9727.230000000001</v>
      </c>
      <c r="G39" s="60">
        <f>$C$39*$D$39*3</f>
        <v>9727.230000000001</v>
      </c>
      <c r="H39" s="60">
        <f>$C$39*$D$39*3</f>
        <v>9727.230000000001</v>
      </c>
      <c r="I39" s="60">
        <f t="shared" si="0"/>
        <v>29181.690000000002</v>
      </c>
      <c r="J39" s="99"/>
    </row>
    <row r="40" spans="1:9" s="67" customFormat="1" ht="25.5">
      <c r="A40" s="84" t="s">
        <v>44</v>
      </c>
      <c r="B40" s="80" t="s">
        <v>17</v>
      </c>
      <c r="C40" s="97">
        <v>0.65</v>
      </c>
      <c r="D40" s="88">
        <f>3795.4+239.8-220.6</f>
        <v>3814.6000000000004</v>
      </c>
      <c r="E40" s="60"/>
      <c r="F40" s="60">
        <f>$C$40*$D$40*3</f>
        <v>7438.470000000001</v>
      </c>
      <c r="G40" s="60">
        <f>$C$40*$D$40*3</f>
        <v>7438.470000000001</v>
      </c>
      <c r="H40" s="60">
        <f>$C$40*$D$40*3</f>
        <v>7438.470000000001</v>
      </c>
      <c r="I40" s="60">
        <f t="shared" si="0"/>
        <v>22315.410000000003</v>
      </c>
    </row>
    <row r="41" spans="1:9" s="67" customFormat="1" ht="12.75">
      <c r="A41" s="79" t="s">
        <v>45</v>
      </c>
      <c r="B41" s="76" t="s">
        <v>18</v>
      </c>
      <c r="C41" s="76">
        <v>100</v>
      </c>
      <c r="D41" s="76">
        <v>1</v>
      </c>
      <c r="E41" s="60"/>
      <c r="F41" s="60">
        <f>$C$41*$D$41*3</f>
        <v>300</v>
      </c>
      <c r="G41" s="60">
        <f>$C$41*$D$41*3</f>
        <v>300</v>
      </c>
      <c r="H41" s="60">
        <f>$C$41*$D$41*3</f>
        <v>300</v>
      </c>
      <c r="I41" s="60">
        <f t="shared" si="0"/>
        <v>900</v>
      </c>
    </row>
    <row r="42" spans="1:9" s="67" customFormat="1" ht="25.5">
      <c r="A42" s="84" t="s">
        <v>46</v>
      </c>
      <c r="B42" s="76"/>
      <c r="C42" s="76"/>
      <c r="D42" s="76"/>
      <c r="E42" s="60"/>
      <c r="F42" s="60">
        <v>1272</v>
      </c>
      <c r="G42" s="60">
        <v>1000</v>
      </c>
      <c r="H42" s="60">
        <v>1000</v>
      </c>
      <c r="I42" s="60">
        <f t="shared" si="0"/>
        <v>3272</v>
      </c>
    </row>
    <row r="43" spans="1:9" s="67" customFormat="1" ht="12.75">
      <c r="A43" s="79" t="s">
        <v>47</v>
      </c>
      <c r="B43" s="77" t="s">
        <v>19</v>
      </c>
      <c r="C43" s="76">
        <v>1</v>
      </c>
      <c r="D43" s="85">
        <v>500</v>
      </c>
      <c r="E43" s="60"/>
      <c r="F43" s="60">
        <f>C43*D43/2</f>
        <v>250</v>
      </c>
      <c r="G43" s="60"/>
      <c r="H43" s="60">
        <f>C43/2*D43</f>
        <v>250</v>
      </c>
      <c r="I43" s="60">
        <f t="shared" si="0"/>
        <v>500</v>
      </c>
    </row>
    <row r="44" spans="1:9" s="67" customFormat="1" ht="12.75">
      <c r="A44" s="86" t="s">
        <v>48</v>
      </c>
      <c r="B44" s="77"/>
      <c r="C44" s="76"/>
      <c r="D44" s="85"/>
      <c r="E44" s="60"/>
      <c r="F44" s="60"/>
      <c r="G44" s="60"/>
      <c r="H44" s="60"/>
      <c r="I44" s="60"/>
    </row>
    <row r="45" spans="1:9" s="67" customFormat="1" ht="25.5">
      <c r="A45" s="79" t="s">
        <v>49</v>
      </c>
      <c r="B45" s="80" t="s">
        <v>17</v>
      </c>
      <c r="C45" s="76">
        <v>0.48</v>
      </c>
      <c r="D45" s="88">
        <f>3795.4+239.8</f>
        <v>4035.2000000000003</v>
      </c>
      <c r="E45" s="60"/>
      <c r="F45" s="60">
        <f>$C$45*$D$45*3</f>
        <v>5810.688</v>
      </c>
      <c r="G45" s="60">
        <f>$C$45*$D$45*3</f>
        <v>5810.688</v>
      </c>
      <c r="H45" s="60">
        <f>$C$45*$D$45*3</f>
        <v>5810.688</v>
      </c>
      <c r="I45" s="60">
        <f>SUM(E45:H45)</f>
        <v>17432.064</v>
      </c>
    </row>
    <row r="46" spans="1:9" s="67" customFormat="1" ht="12.75">
      <c r="A46" s="86" t="s">
        <v>50</v>
      </c>
      <c r="B46" s="77"/>
      <c r="C46" s="76"/>
      <c r="D46" s="85"/>
      <c r="E46" s="60"/>
      <c r="F46" s="60"/>
      <c r="G46" s="60"/>
      <c r="H46" s="60"/>
      <c r="I46" s="60"/>
    </row>
    <row r="47" spans="1:9" s="67" customFormat="1" ht="12.75">
      <c r="A47" s="79" t="s">
        <v>51</v>
      </c>
      <c r="B47" s="80" t="s">
        <v>18</v>
      </c>
      <c r="C47" s="76">
        <v>6500</v>
      </c>
      <c r="D47" s="85">
        <v>1</v>
      </c>
      <c r="E47" s="60"/>
      <c r="F47" s="60">
        <f>$C$47*$D$47*3</f>
        <v>19500</v>
      </c>
      <c r="G47" s="60">
        <f>$C$47*$D$47*3</f>
        <v>19500</v>
      </c>
      <c r="H47" s="60">
        <f>$C$47*$D$47*3</f>
        <v>19500</v>
      </c>
      <c r="I47" s="60">
        <f>SUM(E47:H47)</f>
        <v>58500</v>
      </c>
    </row>
    <row r="48" spans="1:9" s="67" customFormat="1" ht="12.75">
      <c r="A48" s="86" t="s">
        <v>52</v>
      </c>
      <c r="B48" s="77"/>
      <c r="C48" s="76"/>
      <c r="D48" s="85"/>
      <c r="E48" s="60"/>
      <c r="F48" s="60"/>
      <c r="G48" s="60"/>
      <c r="H48" s="60"/>
      <c r="I48" s="60"/>
    </row>
    <row r="49" spans="1:9" s="67" customFormat="1" ht="25.5">
      <c r="A49" s="79" t="s">
        <v>53</v>
      </c>
      <c r="B49" s="80" t="s">
        <v>17</v>
      </c>
      <c r="C49" s="76">
        <v>1.62</v>
      </c>
      <c r="D49" s="88">
        <f>3795.4+239.8</f>
        <v>4035.2000000000003</v>
      </c>
      <c r="E49" s="60"/>
      <c r="F49" s="60">
        <f>$C$49*$D$49*3</f>
        <v>19611.072000000004</v>
      </c>
      <c r="G49" s="60">
        <f>$C$49*$D$49*3</f>
        <v>19611.072000000004</v>
      </c>
      <c r="H49" s="60">
        <f>$C$49*$D$49*3</f>
        <v>19611.072000000004</v>
      </c>
      <c r="I49" s="60">
        <f>SUM(E49:H49)</f>
        <v>58833.216000000015</v>
      </c>
    </row>
    <row r="50" spans="1:9" s="67" customFormat="1" ht="12.75">
      <c r="A50" s="89" t="s">
        <v>54</v>
      </c>
      <c r="B50" s="77"/>
      <c r="C50" s="76"/>
      <c r="D50" s="85"/>
      <c r="E50" s="60"/>
      <c r="F50" s="60"/>
      <c r="G50" s="60"/>
      <c r="H50" s="60"/>
      <c r="I50" s="60"/>
    </row>
    <row r="51" spans="1:9" s="67" customFormat="1" ht="25.5">
      <c r="A51" s="84" t="s">
        <v>57</v>
      </c>
      <c r="B51" s="77"/>
      <c r="C51" s="76"/>
      <c r="D51" s="85"/>
      <c r="E51" s="60"/>
      <c r="F51" s="60">
        <v>4921</v>
      </c>
      <c r="G51" s="60">
        <v>4921</v>
      </c>
      <c r="H51" s="60">
        <v>4921</v>
      </c>
      <c r="I51" s="60">
        <f>SUM(E51:H51)</f>
        <v>14763</v>
      </c>
    </row>
    <row r="52" spans="1:9" s="67" customFormat="1" ht="12.75">
      <c r="A52" s="87" t="s">
        <v>55</v>
      </c>
      <c r="B52" s="80" t="s">
        <v>56</v>
      </c>
      <c r="C52" s="98">
        <f>3+0.936768</f>
        <v>3.936768</v>
      </c>
      <c r="D52" s="90">
        <v>151</v>
      </c>
      <c r="E52" s="60"/>
      <c r="F52" s="60">
        <f>$C$52*$D$52*3</f>
        <v>1783.355904</v>
      </c>
      <c r="G52" s="60">
        <f>$C$52*$D$52*3</f>
        <v>1783.355904</v>
      </c>
      <c r="H52" s="60">
        <f>$C$52*$D$52*3</f>
        <v>1783.355904</v>
      </c>
      <c r="I52" s="60">
        <f>SUM(E52:H52)</f>
        <v>5350.067712</v>
      </c>
    </row>
    <row r="53" spans="1:9" s="67" customFormat="1" ht="12.75">
      <c r="A53" s="91" t="s">
        <v>20</v>
      </c>
      <c r="B53" s="92"/>
      <c r="C53" s="100"/>
      <c r="D53" s="92"/>
      <c r="E53" s="72">
        <f>SUM(E33:E52)</f>
        <v>0</v>
      </c>
      <c r="F53" s="72">
        <f>SUM(F33:F52)</f>
        <v>98951.223904</v>
      </c>
      <c r="G53" s="72">
        <f>SUM(G33:G52)</f>
        <v>98429.223904</v>
      </c>
      <c r="H53" s="72">
        <f>SUM(H33:H52)</f>
        <v>98679.223904</v>
      </c>
      <c r="I53" s="72">
        <f>SUM(I33:I52)</f>
        <v>296059.67171200004</v>
      </c>
    </row>
    <row r="54" spans="1:9" s="67" customFormat="1" ht="12.75">
      <c r="A54" s="62" t="s">
        <v>35</v>
      </c>
      <c r="B54" s="68"/>
      <c r="C54" s="101"/>
      <c r="D54" s="68"/>
      <c r="E54" s="60"/>
      <c r="F54" s="60">
        <v>10966</v>
      </c>
      <c r="G54" s="60">
        <v>10965</v>
      </c>
      <c r="H54" s="60">
        <v>10965</v>
      </c>
      <c r="I54" s="60">
        <f>SUM(E54:H54)</f>
        <v>32896</v>
      </c>
    </row>
    <row r="55" spans="1:9" s="67" customFormat="1" ht="12.75">
      <c r="A55" s="93" t="s">
        <v>21</v>
      </c>
      <c r="B55" s="68"/>
      <c r="C55" s="101"/>
      <c r="D55" s="68"/>
      <c r="E55" s="94">
        <f>SUM(E53:E54)</f>
        <v>0</v>
      </c>
      <c r="F55" s="94">
        <f>SUM(F53:F54)</f>
        <v>109917.223904</v>
      </c>
      <c r="G55" s="94">
        <f>SUM(G53:G54)</f>
        <v>109394.223904</v>
      </c>
      <c r="H55" s="94">
        <f>SUM(H53:H54)</f>
        <v>109644.223904</v>
      </c>
      <c r="I55" s="94">
        <f>SUM(I53:I54)</f>
        <v>328955.67171200004</v>
      </c>
    </row>
    <row r="56" spans="1:9" ht="12.75">
      <c r="A56" s="105" t="s">
        <v>22</v>
      </c>
      <c r="B56" s="105"/>
      <c r="C56" s="105"/>
      <c r="D56" s="105"/>
      <c r="E56" s="105"/>
      <c r="F56" s="105"/>
      <c r="G56" s="105"/>
      <c r="H56" s="105"/>
      <c r="I56" s="106">
        <f>B24-I53</f>
        <v>-0.17171200003940612</v>
      </c>
    </row>
    <row r="58" spans="1:5" ht="12.75">
      <c r="A58" s="103"/>
      <c r="E58" s="104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7">
      <selection activeCell="B21" sqref="B21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9" width="8.5742187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58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-81033.26</v>
      </c>
    </row>
    <row r="19" spans="1:2" ht="25.5">
      <c r="A19" s="42" t="s">
        <v>24</v>
      </c>
      <c r="B19" s="9">
        <v>352853.88</v>
      </c>
    </row>
    <row r="20" spans="1:2" ht="25.5">
      <c r="A20" s="42" t="s">
        <v>25</v>
      </c>
      <c r="B20" s="9">
        <v>42081.58</v>
      </c>
    </row>
    <row r="21" spans="1:2" ht="25.5">
      <c r="A21" s="42" t="s">
        <v>26</v>
      </c>
      <c r="B21" s="9">
        <v>184569</v>
      </c>
    </row>
    <row r="22" spans="1:2" ht="12.75">
      <c r="A22" s="42" t="s">
        <v>27</v>
      </c>
      <c r="B22" s="9">
        <v>142918.56</v>
      </c>
    </row>
    <row r="23" spans="1:2" ht="12.75">
      <c r="A23" s="10" t="s">
        <v>35</v>
      </c>
      <c r="B23" s="9">
        <f>(B19+B20+B21+B22)*10%</f>
        <v>72242.30200000001</v>
      </c>
    </row>
    <row r="24" spans="1:2" ht="12.75">
      <c r="A24" s="43" t="s">
        <v>28</v>
      </c>
      <c r="B24" s="12">
        <f>B18+B19+B20+B21+B22-B23</f>
        <v>569147.458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2.35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aca="true" t="shared" si="0" ref="I33:I43">SUM(E33:H33)</f>
        <v>4000</v>
      </c>
    </row>
    <row r="34" spans="1:9" ht="25.5">
      <c r="A34" s="47" t="s">
        <v>38</v>
      </c>
      <c r="B34" s="21" t="s">
        <v>17</v>
      </c>
      <c r="C34" s="22">
        <v>0.42</v>
      </c>
      <c r="D34" s="24">
        <f>6545+71.6</f>
        <v>6616.6</v>
      </c>
      <c r="E34" s="23">
        <f>$C$34*$D$34*3</f>
        <v>8336.916000000001</v>
      </c>
      <c r="F34" s="23">
        <f>$C$34*$D$34*3</f>
        <v>8336.916000000001</v>
      </c>
      <c r="G34" s="23">
        <f>$C$34*$D$34*3</f>
        <v>8336.916000000001</v>
      </c>
      <c r="H34" s="23">
        <f>$C$34*$D$34*3</f>
        <v>8336.916000000001</v>
      </c>
      <c r="I34" s="9">
        <f t="shared" si="0"/>
        <v>33347.664000000004</v>
      </c>
    </row>
    <row r="35" spans="1:9" ht="25.5">
      <c r="A35" s="47" t="s">
        <v>39</v>
      </c>
      <c r="B35" s="21" t="s">
        <v>17</v>
      </c>
      <c r="C35" s="22">
        <v>0.71</v>
      </c>
      <c r="D35" s="24">
        <f>6545+71.6</f>
        <v>6616.6</v>
      </c>
      <c r="E35" s="23">
        <f>$C$35*$D$35*3</f>
        <v>14093.358</v>
      </c>
      <c r="F35" s="23">
        <f>$C$35*$D$35*3</f>
        <v>14093.358</v>
      </c>
      <c r="G35" s="23">
        <f>$C$35*$D$35*3</f>
        <v>14093.358</v>
      </c>
      <c r="H35" s="23">
        <f>$C$35*$D$35*3</f>
        <v>14093.358</v>
      </c>
      <c r="I35" s="9">
        <f t="shared" si="0"/>
        <v>56373.432</v>
      </c>
    </row>
    <row r="36" spans="1:9" ht="25.5">
      <c r="A36" s="20" t="s">
        <v>40</v>
      </c>
      <c r="B36" s="21" t="s">
        <v>17</v>
      </c>
      <c r="C36" s="22">
        <v>0.25</v>
      </c>
      <c r="D36" s="24">
        <f>6545+71.6</f>
        <v>6616.6</v>
      </c>
      <c r="E36" s="23">
        <f>$C$36*$D$36*3</f>
        <v>4962.450000000001</v>
      </c>
      <c r="F36" s="23">
        <f>$C$36*$D$36*3</f>
        <v>4962.450000000001</v>
      </c>
      <c r="G36" s="23">
        <f>$C$36*$D$36*3</f>
        <v>4962.450000000001</v>
      </c>
      <c r="H36" s="23">
        <f>$C$36*$D$36*3</f>
        <v>4962.450000000001</v>
      </c>
      <c r="I36" s="9">
        <f t="shared" si="0"/>
        <v>19849.800000000003</v>
      </c>
    </row>
    <row r="37" spans="1:9" ht="25.5">
      <c r="A37" s="47" t="s">
        <v>41</v>
      </c>
      <c r="B37" s="21" t="s">
        <v>17</v>
      </c>
      <c r="C37" s="25">
        <v>0.3</v>
      </c>
      <c r="D37" s="24">
        <f>6545+71.6</f>
        <v>6616.6</v>
      </c>
      <c r="E37" s="23">
        <f>$C$37*$D$37*3</f>
        <v>5954.9400000000005</v>
      </c>
      <c r="F37" s="23">
        <f>$C$37*$D$37*3</f>
        <v>5954.9400000000005</v>
      </c>
      <c r="G37" s="23">
        <f>$C$37*$D$37*3</f>
        <v>5954.9400000000005</v>
      </c>
      <c r="H37" s="23">
        <f>$C$37*$D$37*3</f>
        <v>5954.9400000000005</v>
      </c>
      <c r="I37" s="9">
        <f t="shared" si="0"/>
        <v>23819.760000000002</v>
      </c>
    </row>
    <row r="38" spans="1:9" ht="25.5">
      <c r="A38" s="26" t="s">
        <v>42</v>
      </c>
      <c r="B38" s="17"/>
      <c r="C38" s="17"/>
      <c r="D38" s="17"/>
      <c r="E38" s="23">
        <v>1000</v>
      </c>
      <c r="F38" s="23">
        <v>1000</v>
      </c>
      <c r="G38" s="23">
        <v>1000</v>
      </c>
      <c r="H38" s="23">
        <v>1000</v>
      </c>
      <c r="I38" s="9">
        <f t="shared" si="0"/>
        <v>4000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f>6545+71.6</f>
        <v>6616.6</v>
      </c>
      <c r="E39" s="23">
        <f>$C$39*$D$39*3</f>
        <v>12902.369999999999</v>
      </c>
      <c r="F39" s="23">
        <f>$C$39*$D$39*3</f>
        <v>12902.369999999999</v>
      </c>
      <c r="G39" s="23">
        <f>$C$39*$D$39*3</f>
        <v>12902.369999999999</v>
      </c>
      <c r="H39" s="23">
        <f>$C$39*$D$39*3</f>
        <v>12902.369999999999</v>
      </c>
      <c r="I39" s="9">
        <f t="shared" si="0"/>
        <v>51609.479999999996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f>6545</f>
        <v>6545</v>
      </c>
      <c r="E40" s="23">
        <f>$C$40*$D$40*3</f>
        <v>10799.250000000002</v>
      </c>
      <c r="F40" s="23">
        <f>$C$40*$D$40*3</f>
        <v>10799.250000000002</v>
      </c>
      <c r="G40" s="23">
        <f>$C$40*$D$40*3</f>
        <v>10799.250000000002</v>
      </c>
      <c r="H40" s="23">
        <f>$C$40*$D$40*3</f>
        <v>10799.250000000002</v>
      </c>
      <c r="I40" s="9">
        <f t="shared" si="0"/>
        <v>43197.00000000001</v>
      </c>
    </row>
    <row r="41" spans="1:9" ht="12.75">
      <c r="A41" s="20" t="s">
        <v>45</v>
      </c>
      <c r="B41" s="17" t="s">
        <v>18</v>
      </c>
      <c r="C41" s="17">
        <v>100</v>
      </c>
      <c r="D41" s="17">
        <v>3</v>
      </c>
      <c r="E41" s="9">
        <f>$C$41*$D$41*3</f>
        <v>900</v>
      </c>
      <c r="F41" s="9">
        <f>$C$41*$D$41*3</f>
        <v>900</v>
      </c>
      <c r="G41" s="9">
        <f>$C$41*$D$41*3</f>
        <v>900</v>
      </c>
      <c r="H41" s="9">
        <f>$C$41*$D$41*3</f>
        <v>900</v>
      </c>
      <c r="I41" s="9">
        <f t="shared" si="0"/>
        <v>3600</v>
      </c>
    </row>
    <row r="42" spans="1:9" ht="25.5">
      <c r="A42" s="48" t="s">
        <v>46</v>
      </c>
      <c r="B42" s="17"/>
      <c r="C42" s="17"/>
      <c r="D42" s="17"/>
      <c r="E42" s="9">
        <v>1000</v>
      </c>
      <c r="F42" s="9">
        <v>1000</v>
      </c>
      <c r="G42" s="9">
        <v>1000</v>
      </c>
      <c r="H42" s="9">
        <v>1000</v>
      </c>
      <c r="I42" s="9">
        <f t="shared" si="0"/>
        <v>4000</v>
      </c>
    </row>
    <row r="43" spans="1:9" ht="12.75">
      <c r="A43" s="20" t="s">
        <v>47</v>
      </c>
      <c r="B43" s="28" t="s">
        <v>19</v>
      </c>
      <c r="C43" s="29">
        <v>1</v>
      </c>
      <c r="D43" s="30">
        <v>775.9</v>
      </c>
      <c r="E43" s="9"/>
      <c r="F43" s="9">
        <f>C43*D43/2</f>
        <v>387.95</v>
      </c>
      <c r="G43" s="9"/>
      <c r="H43" s="9">
        <f>C43/2*D43</f>
        <v>387.95</v>
      </c>
      <c r="I43" s="9">
        <f t="shared" si="0"/>
        <v>775.9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f>6545+71.6</f>
        <v>6616.6</v>
      </c>
      <c r="E45" s="23">
        <f>$C$45*$D$45*3</f>
        <v>9527.903999999999</v>
      </c>
      <c r="F45" s="23">
        <f>$C$45*$D$45*3</f>
        <v>9527.903999999999</v>
      </c>
      <c r="G45" s="23">
        <f>$C$45*$D$45*3</f>
        <v>9527.903999999999</v>
      </c>
      <c r="H45" s="23">
        <f>$C$45*$D$45*3</f>
        <v>9527.903999999999</v>
      </c>
      <c r="I45" s="9">
        <f>SUM(E45:H45)</f>
        <v>38111.615999999995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3</v>
      </c>
      <c r="E47" s="23">
        <f>$C$47*$D$47*3</f>
        <v>41850</v>
      </c>
      <c r="F47" s="23">
        <f>$C$47*$D$47*3</f>
        <v>41850</v>
      </c>
      <c r="G47" s="23">
        <f>$C$47*$D$47*3</f>
        <v>41850</v>
      </c>
      <c r="H47" s="23">
        <f>$C$47*$D$47*3</f>
        <v>41850</v>
      </c>
      <c r="I47" s="9">
        <f>SUM(E47:H47)</f>
        <v>167400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f>6545+71.6</f>
        <v>6616.6</v>
      </c>
      <c r="E49" s="23">
        <f>$C$49*$D$49*3</f>
        <v>32156.676000000007</v>
      </c>
      <c r="F49" s="23">
        <f>$C$49*$D$49*3</f>
        <v>32156.676000000007</v>
      </c>
      <c r="G49" s="23">
        <f>$C$49*$D$49*3</f>
        <v>32156.676000000007</v>
      </c>
      <c r="H49" s="23">
        <f>$C$49*$D$49*3</f>
        <v>32156.676000000007</v>
      </c>
      <c r="I49" s="9">
        <f>SUM(E49:H49)</f>
        <v>128626.70400000003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7849</v>
      </c>
      <c r="F51" s="9">
        <v>7849</v>
      </c>
      <c r="G51" s="9">
        <v>7849</v>
      </c>
      <c r="H51" s="9">
        <v>7850</v>
      </c>
      <c r="I51" s="9">
        <f>SUM(E51:H51)</f>
        <v>31397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121</v>
      </c>
      <c r="E52" s="23">
        <f>$C$52*$D$52*3</f>
        <v>1429.0467840000001</v>
      </c>
      <c r="F52" s="23">
        <f>$C$52*$D$52*3</f>
        <v>1429.0467840000001</v>
      </c>
      <c r="G52" s="23">
        <f>$C$52*$D$52*3</f>
        <v>1429.0467840000001</v>
      </c>
      <c r="H52" s="23">
        <f>$C$52*$D$52*3</f>
        <v>1429.0467840000001</v>
      </c>
      <c r="I52" s="9">
        <f>SUM(E52:H52)</f>
        <v>5716.1871360000005</v>
      </c>
    </row>
    <row r="53" spans="1:9" ht="12.75">
      <c r="A53" s="32" t="s">
        <v>20</v>
      </c>
      <c r="B53" s="33"/>
      <c r="C53" s="34"/>
      <c r="D53" s="33"/>
      <c r="E53" s="12">
        <f>SUM(E33:E52)</f>
        <v>153761.910784</v>
      </c>
      <c r="F53" s="12">
        <f>SUM(F33:F52)</f>
        <v>154149.86078400002</v>
      </c>
      <c r="G53" s="12">
        <f>SUM(G33:G52)</f>
        <v>153761.910784</v>
      </c>
      <c r="H53" s="12">
        <f>SUM(H33:H52)</f>
        <v>154150.86078400002</v>
      </c>
      <c r="I53" s="12">
        <f>SUM(I33:I52)</f>
        <v>615824.543136</v>
      </c>
    </row>
    <row r="54" spans="1:9" ht="12.75">
      <c r="A54" s="10" t="s">
        <v>35</v>
      </c>
      <c r="B54" s="6"/>
      <c r="C54" s="35"/>
      <c r="D54" s="6"/>
      <c r="E54" s="36">
        <v>18060.5</v>
      </c>
      <c r="F54" s="36">
        <v>18060.5</v>
      </c>
      <c r="G54" s="36">
        <v>18060.5</v>
      </c>
      <c r="H54" s="36">
        <v>18060.5</v>
      </c>
      <c r="I54" s="36">
        <f>SUM(E54:H54)</f>
        <v>72242</v>
      </c>
    </row>
    <row r="55" spans="1:9" ht="12.75">
      <c r="A55" s="37" t="s">
        <v>21</v>
      </c>
      <c r="B55" s="6"/>
      <c r="C55" s="35"/>
      <c r="D55" s="6"/>
      <c r="E55" s="38">
        <f>SUM(E53:E54)</f>
        <v>171822.410784</v>
      </c>
      <c r="F55" s="38">
        <f>SUM(F53:F54)</f>
        <v>172210.36078400002</v>
      </c>
      <c r="G55" s="38">
        <f>SUM(G53:G54)</f>
        <v>171822.410784</v>
      </c>
      <c r="H55" s="38">
        <f>SUM(H53:H54)</f>
        <v>172211.36078400002</v>
      </c>
      <c r="I55" s="38">
        <f>SUM(I53:I54)</f>
        <v>688066.543136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-46677.08513600007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J25" sqref="J25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9" width="8.5742187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59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-118803.2</v>
      </c>
    </row>
    <row r="19" spans="1:2" ht="25.5">
      <c r="A19" s="42" t="s">
        <v>24</v>
      </c>
      <c r="B19" s="9">
        <v>475335.9</v>
      </c>
    </row>
    <row r="20" spans="1:2" ht="25.5">
      <c r="A20" s="42" t="s">
        <v>25</v>
      </c>
      <c r="B20" s="9">
        <v>56666.96</v>
      </c>
    </row>
    <row r="21" spans="1:2" ht="25.5">
      <c r="A21" s="42" t="s">
        <v>26</v>
      </c>
      <c r="B21" s="9">
        <v>242958.92</v>
      </c>
    </row>
    <row r="22" spans="1:2" ht="12.75">
      <c r="A22" s="42" t="s">
        <v>27</v>
      </c>
      <c r="B22" s="9">
        <v>192453.84</v>
      </c>
    </row>
    <row r="23" spans="1:2" ht="12.75">
      <c r="A23" s="10" t="s">
        <v>35</v>
      </c>
      <c r="B23" s="9">
        <f>(B19+B20+B21+B22)*10%</f>
        <v>96741.562</v>
      </c>
    </row>
    <row r="24" spans="1:2" ht="12.75">
      <c r="A24" s="43" t="s">
        <v>28</v>
      </c>
      <c r="B24" s="12">
        <f>B18+B19+B20+B21+B22-B23</f>
        <v>751870.858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2.29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aca="true" t="shared" si="0" ref="I33:I43">SUM(E33:H33)</f>
        <v>4000</v>
      </c>
    </row>
    <row r="34" spans="1:9" ht="25.5">
      <c r="A34" s="47" t="s">
        <v>38</v>
      </c>
      <c r="B34" s="21" t="s">
        <v>17</v>
      </c>
      <c r="C34" s="22">
        <v>0.42</v>
      </c>
      <c r="D34" s="24">
        <f>8841.3+68.6</f>
        <v>8909.9</v>
      </c>
      <c r="E34" s="23">
        <f>$C$34*$D$34*3</f>
        <v>11226.474</v>
      </c>
      <c r="F34" s="23">
        <f>$C$34*$D$34*3</f>
        <v>11226.474</v>
      </c>
      <c r="G34" s="23">
        <f>$C$34*$D$34*3</f>
        <v>11226.474</v>
      </c>
      <c r="H34" s="23">
        <f>$C$34*$D$34*3</f>
        <v>11226.474</v>
      </c>
      <c r="I34" s="9">
        <f t="shared" si="0"/>
        <v>44905.896</v>
      </c>
    </row>
    <row r="35" spans="1:9" ht="25.5">
      <c r="A35" s="47" t="s">
        <v>39</v>
      </c>
      <c r="B35" s="21" t="s">
        <v>17</v>
      </c>
      <c r="C35" s="22">
        <v>0.71</v>
      </c>
      <c r="D35" s="24">
        <f>8841.3+68.6</f>
        <v>8909.9</v>
      </c>
      <c r="E35" s="23">
        <f>$C$35*$D$35*3</f>
        <v>18978.087</v>
      </c>
      <c r="F35" s="23">
        <f>$C$35*$D$35*3</f>
        <v>18978.087</v>
      </c>
      <c r="G35" s="23">
        <f>$C$35*$D$35*3</f>
        <v>18978.087</v>
      </c>
      <c r="H35" s="23">
        <f>$C$35*$D$35*3</f>
        <v>18978.087</v>
      </c>
      <c r="I35" s="9">
        <f t="shared" si="0"/>
        <v>75912.348</v>
      </c>
    </row>
    <row r="36" spans="1:9" ht="25.5">
      <c r="A36" s="20" t="s">
        <v>40</v>
      </c>
      <c r="B36" s="21" t="s">
        <v>17</v>
      </c>
      <c r="C36" s="22">
        <v>0.25</v>
      </c>
      <c r="D36" s="24">
        <f>8841.3+68.6</f>
        <v>8909.9</v>
      </c>
      <c r="E36" s="23">
        <f>$C$36*$D$36*3</f>
        <v>6682.424999999999</v>
      </c>
      <c r="F36" s="23">
        <f>$C$36*$D$36*3</f>
        <v>6682.424999999999</v>
      </c>
      <c r="G36" s="23">
        <f>$C$36*$D$36*3</f>
        <v>6682.424999999999</v>
      </c>
      <c r="H36" s="23">
        <f>$C$36*$D$36*3</f>
        <v>6682.424999999999</v>
      </c>
      <c r="I36" s="9">
        <f t="shared" si="0"/>
        <v>26729.699999999997</v>
      </c>
    </row>
    <row r="37" spans="1:9" ht="25.5">
      <c r="A37" s="47" t="s">
        <v>41</v>
      </c>
      <c r="B37" s="21" t="s">
        <v>17</v>
      </c>
      <c r="C37" s="25">
        <v>0.3</v>
      </c>
      <c r="D37" s="24">
        <f>8841.3+68.6</f>
        <v>8909.9</v>
      </c>
      <c r="E37" s="23">
        <f>$C$37*$D$37*3</f>
        <v>8018.91</v>
      </c>
      <c r="F37" s="23">
        <f>$C$37*$D$37*3</f>
        <v>8018.91</v>
      </c>
      <c r="G37" s="23">
        <f>$C$37*$D$37*3</f>
        <v>8018.91</v>
      </c>
      <c r="H37" s="23">
        <f>$C$37*$D$37*3</f>
        <v>8018.91</v>
      </c>
      <c r="I37" s="9">
        <f t="shared" si="0"/>
        <v>32075.64</v>
      </c>
    </row>
    <row r="38" spans="1:9" ht="25.5">
      <c r="A38" s="26" t="s">
        <v>42</v>
      </c>
      <c r="B38" s="17"/>
      <c r="C38" s="17"/>
      <c r="D38" s="17"/>
      <c r="E38" s="23">
        <v>1000</v>
      </c>
      <c r="F38" s="23">
        <v>1000</v>
      </c>
      <c r="G38" s="23">
        <v>1000</v>
      </c>
      <c r="H38" s="23">
        <v>1000</v>
      </c>
      <c r="I38" s="9">
        <f t="shared" si="0"/>
        <v>4000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f>8841.3+68.6</f>
        <v>8909.9</v>
      </c>
      <c r="E39" s="23">
        <f>$C$39*$D$39*3</f>
        <v>17374.305</v>
      </c>
      <c r="F39" s="23">
        <f>$C$39*$D$39*3</f>
        <v>17374.305</v>
      </c>
      <c r="G39" s="23">
        <f>$C$39*$D$39*3</f>
        <v>17374.305</v>
      </c>
      <c r="H39" s="23">
        <f>$C$39*$D$39*3</f>
        <v>17374.305</v>
      </c>
      <c r="I39" s="9">
        <f t="shared" si="0"/>
        <v>69497.22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f>8841.3</f>
        <v>8841.3</v>
      </c>
      <c r="E40" s="23">
        <f>$C$40*$D$40*3</f>
        <v>14588.145</v>
      </c>
      <c r="F40" s="23">
        <f>$C$40*$D$40*3</f>
        <v>14588.145</v>
      </c>
      <c r="G40" s="23">
        <f>$C$40*$D$40*3</f>
        <v>14588.145</v>
      </c>
      <c r="H40" s="23">
        <f>$C$40*$D$40*3</f>
        <v>14588.145</v>
      </c>
      <c r="I40" s="9">
        <f t="shared" si="0"/>
        <v>58352.58</v>
      </c>
    </row>
    <row r="41" spans="1:9" ht="12.75">
      <c r="A41" s="20" t="s">
        <v>45</v>
      </c>
      <c r="B41" s="17" t="s">
        <v>18</v>
      </c>
      <c r="C41" s="17">
        <v>100</v>
      </c>
      <c r="D41" s="17">
        <v>4</v>
      </c>
      <c r="E41" s="9">
        <f>$C$41*$D$41*3</f>
        <v>1200</v>
      </c>
      <c r="F41" s="9">
        <f>$C$41*$D$41*3</f>
        <v>1200</v>
      </c>
      <c r="G41" s="9">
        <f>$C$41*$D$41*3</f>
        <v>1200</v>
      </c>
      <c r="H41" s="9">
        <f>$C$41*$D$41*3</f>
        <v>1200</v>
      </c>
      <c r="I41" s="9">
        <f t="shared" si="0"/>
        <v>4800</v>
      </c>
    </row>
    <row r="42" spans="1:9" ht="25.5">
      <c r="A42" s="48" t="s">
        <v>46</v>
      </c>
      <c r="B42" s="17"/>
      <c r="C42" s="17"/>
      <c r="D42" s="17"/>
      <c r="E42" s="9">
        <v>1000</v>
      </c>
      <c r="F42" s="9">
        <v>1000</v>
      </c>
      <c r="G42" s="9">
        <v>1000</v>
      </c>
      <c r="H42" s="9">
        <v>1000</v>
      </c>
      <c r="I42" s="9">
        <f t="shared" si="0"/>
        <v>4000</v>
      </c>
    </row>
    <row r="43" spans="1:9" ht="12.75">
      <c r="A43" s="20" t="s">
        <v>47</v>
      </c>
      <c r="B43" s="28" t="s">
        <v>19</v>
      </c>
      <c r="C43" s="29">
        <v>1</v>
      </c>
      <c r="D43" s="30">
        <v>1017.2</v>
      </c>
      <c r="E43" s="9"/>
      <c r="F43" s="9">
        <f>C43*D43/2</f>
        <v>508.6</v>
      </c>
      <c r="G43" s="9"/>
      <c r="H43" s="9">
        <f>C43/2*D43</f>
        <v>508.6</v>
      </c>
      <c r="I43" s="9">
        <f t="shared" si="0"/>
        <v>1017.2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f>8841.3+68.6</f>
        <v>8909.9</v>
      </c>
      <c r="E45" s="23">
        <f>$C$45*$D$45*3</f>
        <v>12830.255999999998</v>
      </c>
      <c r="F45" s="23">
        <f>$C$45*$D$45*3</f>
        <v>12830.255999999998</v>
      </c>
      <c r="G45" s="23">
        <f>$C$45*$D$45*3</f>
        <v>12830.255999999998</v>
      </c>
      <c r="H45" s="23">
        <f>$C$45*$D$45*3</f>
        <v>12830.255999999998</v>
      </c>
      <c r="I45" s="9">
        <f>SUM(E45:H45)</f>
        <v>51321.02399999999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4</v>
      </c>
      <c r="E47" s="23">
        <f>$C$47*$D$47*3</f>
        <v>55800</v>
      </c>
      <c r="F47" s="23">
        <f>$C$47*$D$47*3</f>
        <v>55800</v>
      </c>
      <c r="G47" s="23">
        <f>$C$47*$D$47*3</f>
        <v>55800</v>
      </c>
      <c r="H47" s="23">
        <f>$C$47*$D$47*3</f>
        <v>55800</v>
      </c>
      <c r="I47" s="9">
        <f>SUM(E47:H47)</f>
        <v>223200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f>8841.3+68.6</f>
        <v>8909.9</v>
      </c>
      <c r="E49" s="23">
        <f>$C$49*$D$49*3</f>
        <v>43302.114</v>
      </c>
      <c r="F49" s="23">
        <f>$C$49*$D$49*3</f>
        <v>43302.114</v>
      </c>
      <c r="G49" s="23">
        <f>$C$49*$D$49*3</f>
        <v>43302.114</v>
      </c>
      <c r="H49" s="23">
        <f>$C$49*$D$49*3</f>
        <v>43302.114</v>
      </c>
      <c r="I49" s="9">
        <f>SUM(E49:H49)</f>
        <v>173208.456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10531</v>
      </c>
      <c r="F51" s="9">
        <v>10531</v>
      </c>
      <c r="G51" s="9">
        <v>10532</v>
      </c>
      <c r="H51" s="9">
        <v>10532</v>
      </c>
      <c r="I51" s="9">
        <f>SUM(E51:H51)</f>
        <v>42126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165</v>
      </c>
      <c r="E52" s="23">
        <f>$C$52*$D$52*3</f>
        <v>1948.7001599999999</v>
      </c>
      <c r="F52" s="23">
        <f>$C$52*$D$52*3</f>
        <v>1948.7001599999999</v>
      </c>
      <c r="G52" s="23">
        <f>$C$52*$D$52*3</f>
        <v>1948.7001599999999</v>
      </c>
      <c r="H52" s="23">
        <f>$C$52*$D$52*3</f>
        <v>1948.7001599999999</v>
      </c>
      <c r="I52" s="9">
        <f>SUM(E52:H52)</f>
        <v>7794.8006399999995</v>
      </c>
    </row>
    <row r="53" spans="1:9" ht="12.75">
      <c r="A53" s="32" t="s">
        <v>20</v>
      </c>
      <c r="B53" s="33"/>
      <c r="C53" s="34"/>
      <c r="D53" s="33"/>
      <c r="E53" s="12">
        <f>SUM(E33:E52)</f>
        <v>205480.41616000002</v>
      </c>
      <c r="F53" s="12">
        <f>SUM(F33:F52)</f>
        <v>205989.01616</v>
      </c>
      <c r="G53" s="12">
        <f>SUM(G33:G52)</f>
        <v>205481.41616000002</v>
      </c>
      <c r="H53" s="12">
        <f>SUM(H33:H52)</f>
        <v>205990.01616</v>
      </c>
      <c r="I53" s="12">
        <f>SUM(I33:I52)</f>
        <v>822940.86464</v>
      </c>
    </row>
    <row r="54" spans="1:9" ht="12.75">
      <c r="A54" s="10" t="s">
        <v>35</v>
      </c>
      <c r="B54" s="6"/>
      <c r="C54" s="35"/>
      <c r="D54" s="6"/>
      <c r="E54" s="36">
        <v>24185</v>
      </c>
      <c r="F54" s="36">
        <v>24185</v>
      </c>
      <c r="G54" s="36">
        <v>24186</v>
      </c>
      <c r="H54" s="36">
        <v>24186</v>
      </c>
      <c r="I54" s="36">
        <f>SUM(E54:H54)</f>
        <v>96742</v>
      </c>
    </row>
    <row r="55" spans="1:9" ht="12.75">
      <c r="A55" s="37" t="s">
        <v>21</v>
      </c>
      <c r="B55" s="6"/>
      <c r="C55" s="35"/>
      <c r="D55" s="6"/>
      <c r="E55" s="38">
        <f>SUM(E53:E54)</f>
        <v>229665.41616000002</v>
      </c>
      <c r="F55" s="38">
        <f>SUM(F53:F54)</f>
        <v>230174.01616</v>
      </c>
      <c r="G55" s="38">
        <f>SUM(G53:G54)</f>
        <v>229667.41616000002</v>
      </c>
      <c r="H55" s="38">
        <f>SUM(H53:H54)</f>
        <v>230176.01616</v>
      </c>
      <c r="I55" s="38">
        <f>SUM(I53:I54)</f>
        <v>919682.86464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-71070.00664000004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4">
      <selection activeCell="B21" sqref="B21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9" width="8.5742187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60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-87429.78</v>
      </c>
    </row>
    <row r="19" spans="1:2" ht="25.5">
      <c r="A19" s="42" t="s">
        <v>24</v>
      </c>
      <c r="B19" s="9">
        <v>203998.68</v>
      </c>
    </row>
    <row r="20" spans="1:2" ht="25.5">
      <c r="A20" s="42" t="s">
        <v>25</v>
      </c>
      <c r="B20" s="9">
        <v>24296.47</v>
      </c>
    </row>
    <row r="21" spans="1:2" ht="25.5">
      <c r="A21" s="42" t="s">
        <v>26</v>
      </c>
      <c r="B21" s="9">
        <v>123316.06</v>
      </c>
    </row>
    <row r="22" spans="1:2" ht="12.75">
      <c r="A22" s="42" t="s">
        <v>27</v>
      </c>
      <c r="B22" s="9">
        <v>82516.32</v>
      </c>
    </row>
    <row r="23" spans="1:2" ht="12.75">
      <c r="A23" s="10" t="s">
        <v>35</v>
      </c>
      <c r="B23" s="9">
        <f>(B19+B20+B21+B22)*10%</f>
        <v>43412.753</v>
      </c>
    </row>
    <row r="24" spans="1:2" ht="12.75">
      <c r="A24" s="43" t="s">
        <v>28</v>
      </c>
      <c r="B24" s="12">
        <f>B18+B19+B20+B21+B22-B23</f>
        <v>303284.997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2.69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aca="true" t="shared" si="0" ref="I33:I43">SUM(E33:H33)</f>
        <v>4000</v>
      </c>
    </row>
    <row r="34" spans="1:9" ht="25.5">
      <c r="A34" s="47" t="s">
        <v>38</v>
      </c>
      <c r="B34" s="21" t="s">
        <v>17</v>
      </c>
      <c r="C34" s="22">
        <v>0.42</v>
      </c>
      <c r="D34" s="24">
        <v>3820.2</v>
      </c>
      <c r="E34" s="23">
        <f>$C$34*$D$34*3</f>
        <v>4813.451999999999</v>
      </c>
      <c r="F34" s="23">
        <f>$C$34*$D$34*3</f>
        <v>4813.451999999999</v>
      </c>
      <c r="G34" s="23">
        <f>$C$34*$D$34*3</f>
        <v>4813.451999999999</v>
      </c>
      <c r="H34" s="23">
        <f>$C$34*$D$34*3</f>
        <v>4813.451999999999</v>
      </c>
      <c r="I34" s="9">
        <f t="shared" si="0"/>
        <v>19253.807999999997</v>
      </c>
    </row>
    <row r="35" spans="1:9" ht="25.5">
      <c r="A35" s="47" t="s">
        <v>39</v>
      </c>
      <c r="B35" s="21" t="s">
        <v>17</v>
      </c>
      <c r="C35" s="22">
        <v>0.71</v>
      </c>
      <c r="D35" s="24">
        <v>3820.2</v>
      </c>
      <c r="E35" s="23">
        <f>$C$35*$D$35*3</f>
        <v>8137.025999999999</v>
      </c>
      <c r="F35" s="23">
        <f>$C$35*$D$35*3</f>
        <v>8137.025999999999</v>
      </c>
      <c r="G35" s="23">
        <f>$C$35*$D$35*3</f>
        <v>8137.025999999999</v>
      </c>
      <c r="H35" s="23">
        <f>$C$35*$D$35*3</f>
        <v>8137.025999999999</v>
      </c>
      <c r="I35" s="9">
        <f t="shared" si="0"/>
        <v>32548.103999999996</v>
      </c>
    </row>
    <row r="36" spans="1:9" ht="25.5">
      <c r="A36" s="20" t="s">
        <v>40</v>
      </c>
      <c r="B36" s="21" t="s">
        <v>17</v>
      </c>
      <c r="C36" s="22">
        <v>0.25</v>
      </c>
      <c r="D36" s="24">
        <v>3820.2</v>
      </c>
      <c r="E36" s="23">
        <f>$C$36*$D$36*3</f>
        <v>2865.1499999999996</v>
      </c>
      <c r="F36" s="23">
        <f>$C$36*$D$36*3</f>
        <v>2865.1499999999996</v>
      </c>
      <c r="G36" s="23">
        <f>$C$36*$D$36*3</f>
        <v>2865.1499999999996</v>
      </c>
      <c r="H36" s="23">
        <f>$C$36*$D$36*3</f>
        <v>2865.1499999999996</v>
      </c>
      <c r="I36" s="9">
        <f t="shared" si="0"/>
        <v>11460.599999999999</v>
      </c>
    </row>
    <row r="37" spans="1:9" ht="25.5">
      <c r="A37" s="47" t="s">
        <v>41</v>
      </c>
      <c r="B37" s="21" t="s">
        <v>17</v>
      </c>
      <c r="C37" s="25">
        <v>0.3</v>
      </c>
      <c r="D37" s="24">
        <v>3820.2</v>
      </c>
      <c r="E37" s="23">
        <f>$C$37*$D$37*3</f>
        <v>3438.18</v>
      </c>
      <c r="F37" s="23">
        <f>$C$37*$D$37*3</f>
        <v>3438.18</v>
      </c>
      <c r="G37" s="23">
        <f>$C$37*$D$37*3</f>
        <v>3438.18</v>
      </c>
      <c r="H37" s="23">
        <f>$C$37*$D$37*3</f>
        <v>3438.18</v>
      </c>
      <c r="I37" s="9">
        <f t="shared" si="0"/>
        <v>13752.72</v>
      </c>
    </row>
    <row r="38" spans="1:9" ht="25.5">
      <c r="A38" s="26" t="s">
        <v>42</v>
      </c>
      <c r="B38" s="17"/>
      <c r="C38" s="17"/>
      <c r="D38" s="17"/>
      <c r="E38" s="23">
        <v>1000</v>
      </c>
      <c r="F38" s="23">
        <v>1000</v>
      </c>
      <c r="G38" s="23">
        <v>1000</v>
      </c>
      <c r="H38" s="23">
        <v>1000</v>
      </c>
      <c r="I38" s="9">
        <f t="shared" si="0"/>
        <v>4000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v>3820.2</v>
      </c>
      <c r="E39" s="23">
        <f>$C$39*$D$39*3</f>
        <v>7449.39</v>
      </c>
      <c r="F39" s="23">
        <f>$C$39*$D$39*3</f>
        <v>7449.39</v>
      </c>
      <c r="G39" s="23">
        <f>$C$39*$D$39*3</f>
        <v>7449.39</v>
      </c>
      <c r="H39" s="23">
        <f>$C$39*$D$39*3</f>
        <v>7449.39</v>
      </c>
      <c r="I39" s="9">
        <f t="shared" si="0"/>
        <v>29797.56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v>3820.2</v>
      </c>
      <c r="E40" s="23">
        <f>$C$40*$D$40*3</f>
        <v>6303.33</v>
      </c>
      <c r="F40" s="23">
        <f>$C$40*$D$40*3</f>
        <v>6303.33</v>
      </c>
      <c r="G40" s="23">
        <f>$C$40*$D$40*3</f>
        <v>6303.33</v>
      </c>
      <c r="H40" s="23">
        <f>$C$40*$D$40*3</f>
        <v>6303.33</v>
      </c>
      <c r="I40" s="9">
        <f t="shared" si="0"/>
        <v>25213.32</v>
      </c>
    </row>
    <row r="41" spans="1:9" ht="12.75">
      <c r="A41" s="20" t="s">
        <v>45</v>
      </c>
      <c r="B41" s="17" t="s">
        <v>18</v>
      </c>
      <c r="C41" s="17">
        <v>100</v>
      </c>
      <c r="D41" s="17">
        <v>2</v>
      </c>
      <c r="E41" s="9">
        <f>$C$41*$D$41*3</f>
        <v>600</v>
      </c>
      <c r="F41" s="9">
        <f>$C$41*$D$41*3</f>
        <v>600</v>
      </c>
      <c r="G41" s="9">
        <f>$C$41*$D$41*3</f>
        <v>600</v>
      </c>
      <c r="H41" s="9">
        <f>$C$41*$D$41*3</f>
        <v>600</v>
      </c>
      <c r="I41" s="9">
        <f t="shared" si="0"/>
        <v>2400</v>
      </c>
    </row>
    <row r="42" spans="1:9" ht="25.5">
      <c r="A42" s="48" t="s">
        <v>46</v>
      </c>
      <c r="B42" s="17"/>
      <c r="C42" s="17"/>
      <c r="D42" s="17"/>
      <c r="E42" s="9">
        <v>1000</v>
      </c>
      <c r="F42" s="9">
        <v>1000</v>
      </c>
      <c r="G42" s="9">
        <v>1000</v>
      </c>
      <c r="H42" s="9">
        <v>1000</v>
      </c>
      <c r="I42" s="9">
        <f t="shared" si="0"/>
        <v>4000</v>
      </c>
    </row>
    <row r="43" spans="1:9" ht="12.75">
      <c r="A43" s="20" t="s">
        <v>47</v>
      </c>
      <c r="B43" s="28" t="s">
        <v>19</v>
      </c>
      <c r="C43" s="29">
        <v>1</v>
      </c>
      <c r="D43" s="30">
        <v>500.8</v>
      </c>
      <c r="E43" s="9"/>
      <c r="F43" s="9">
        <f>C43*D43/2</f>
        <v>250.4</v>
      </c>
      <c r="G43" s="9"/>
      <c r="H43" s="9">
        <f>C43/2*D43</f>
        <v>250.4</v>
      </c>
      <c r="I43" s="9">
        <f t="shared" si="0"/>
        <v>500.8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3820.2</v>
      </c>
      <c r="E45" s="23">
        <f>$C$45*$D$45*3</f>
        <v>5501.088</v>
      </c>
      <c r="F45" s="23">
        <f>$C$45*$D$45*3</f>
        <v>5501.088</v>
      </c>
      <c r="G45" s="23">
        <f>$C$45*$D$45*3</f>
        <v>5501.088</v>
      </c>
      <c r="H45" s="23">
        <f>$C$45*$D$45*3</f>
        <v>5501.088</v>
      </c>
      <c r="I45" s="9">
        <f>SUM(E45:H45)</f>
        <v>22004.352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2</v>
      </c>
      <c r="E47" s="23">
        <f>$C$47*$D$47*3</f>
        <v>27900</v>
      </c>
      <c r="F47" s="23">
        <f>$C$47*$D$47*3</f>
        <v>27900</v>
      </c>
      <c r="G47" s="23">
        <f>$C$47*$D$47*3</f>
        <v>27900</v>
      </c>
      <c r="H47" s="23">
        <f>$C$47*$D$47*3</f>
        <v>27900</v>
      </c>
      <c r="I47" s="9">
        <f>SUM(E47:H47)</f>
        <v>111600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3820.2</v>
      </c>
      <c r="E49" s="23">
        <f>$C$49*$D$49*3</f>
        <v>18566.172</v>
      </c>
      <c r="F49" s="23">
        <f>$C$49*$D$49*3</f>
        <v>18566.172</v>
      </c>
      <c r="G49" s="23">
        <f>$C$49*$D$49*3</f>
        <v>18566.172</v>
      </c>
      <c r="H49" s="23">
        <f>$C$49*$D$49*3</f>
        <v>18566.172</v>
      </c>
      <c r="I49" s="9">
        <f>SUM(E49:H49)</f>
        <v>74264.688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4663</v>
      </c>
      <c r="F51" s="9">
        <v>4663</v>
      </c>
      <c r="G51" s="9">
        <v>4663</v>
      </c>
      <c r="H51" s="9">
        <v>4662</v>
      </c>
      <c r="I51" s="9">
        <f>SUM(E51:H51)</f>
        <v>18651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72</v>
      </c>
      <c r="E52" s="23">
        <f>$C$52*$D$52*3</f>
        <v>850.3418879999999</v>
      </c>
      <c r="F52" s="23">
        <f>$C$52*$D$52*3</f>
        <v>850.3418879999999</v>
      </c>
      <c r="G52" s="23">
        <f>$C$52*$D$52*3</f>
        <v>850.3418879999999</v>
      </c>
      <c r="H52" s="23">
        <f>$C$52*$D$52*3</f>
        <v>850.3418879999999</v>
      </c>
      <c r="I52" s="9">
        <f>SUM(E52:H52)</f>
        <v>3401.3675519999997</v>
      </c>
    </row>
    <row r="53" spans="1:9" ht="12.75">
      <c r="A53" s="32" t="s">
        <v>20</v>
      </c>
      <c r="B53" s="33"/>
      <c r="C53" s="34"/>
      <c r="D53" s="33"/>
      <c r="E53" s="12">
        <f>SUM(E33:E52)</f>
        <v>94087.129888</v>
      </c>
      <c r="F53" s="12">
        <f>SUM(F33:F52)</f>
        <v>94337.52988799999</v>
      </c>
      <c r="G53" s="12">
        <f>SUM(G33:G52)</f>
        <v>94087.129888</v>
      </c>
      <c r="H53" s="12">
        <f>SUM(H33:H52)</f>
        <v>94336.52988799999</v>
      </c>
      <c r="I53" s="12">
        <f>SUM(I33:I52)</f>
        <v>376848.3195519999</v>
      </c>
    </row>
    <row r="54" spans="1:9" ht="12.75">
      <c r="A54" s="10" t="s">
        <v>35</v>
      </c>
      <c r="B54" s="6"/>
      <c r="C54" s="35"/>
      <c r="D54" s="6"/>
      <c r="E54" s="36">
        <v>10853</v>
      </c>
      <c r="F54" s="36">
        <v>10853</v>
      </c>
      <c r="G54" s="36">
        <v>10853</v>
      </c>
      <c r="H54" s="36">
        <v>10854</v>
      </c>
      <c r="I54" s="36">
        <f>SUM(E54:H54)</f>
        <v>43413</v>
      </c>
    </row>
    <row r="55" spans="1:9" ht="12.75">
      <c r="A55" s="37" t="s">
        <v>21</v>
      </c>
      <c r="B55" s="6"/>
      <c r="C55" s="35"/>
      <c r="D55" s="6"/>
      <c r="E55" s="38">
        <f>SUM(E53:E54)</f>
        <v>104940.129888</v>
      </c>
      <c r="F55" s="38">
        <f>SUM(F53:F54)</f>
        <v>105190.52988799999</v>
      </c>
      <c r="G55" s="38">
        <f>SUM(G53:G54)</f>
        <v>104940.129888</v>
      </c>
      <c r="H55" s="38">
        <f>SUM(H53:H54)</f>
        <v>105190.52988799999</v>
      </c>
      <c r="I55" s="38">
        <f>SUM(I53:I54)</f>
        <v>420261.3195519999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-73563.32255199994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B21" sqref="B21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9" width="8.5742187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61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-59462.61</v>
      </c>
    </row>
    <row r="19" spans="1:2" ht="25.5">
      <c r="A19" s="42" t="s">
        <v>24</v>
      </c>
      <c r="B19" s="9">
        <v>352624.18</v>
      </c>
    </row>
    <row r="20" spans="1:2" ht="25.5">
      <c r="A20" s="42" t="s">
        <v>25</v>
      </c>
      <c r="B20" s="9">
        <v>34698.25</v>
      </c>
    </row>
    <row r="21" spans="1:2" ht="25.5">
      <c r="A21" s="42" t="s">
        <v>26</v>
      </c>
      <c r="B21" s="9">
        <v>176110</v>
      </c>
    </row>
    <row r="22" spans="1:2" ht="12.75">
      <c r="A22" s="42" t="s">
        <v>27</v>
      </c>
      <c r="B22" s="9">
        <v>117843.12</v>
      </c>
    </row>
    <row r="23" spans="1:2" ht="12.75">
      <c r="A23" s="10" t="s">
        <v>35</v>
      </c>
      <c r="B23" s="9">
        <f>(B19+B20+B21+B22)*10%</f>
        <v>68127.555</v>
      </c>
    </row>
    <row r="24" spans="1:2" ht="12.75">
      <c r="A24" s="43" t="s">
        <v>28</v>
      </c>
      <c r="B24" s="12">
        <f>B18+B19+B20+B21+B22-B23</f>
        <v>553685.385</v>
      </c>
    </row>
    <row r="25" spans="1:2" ht="12.75">
      <c r="A25" s="42" t="s">
        <v>29</v>
      </c>
      <c r="B25" s="13">
        <v>4.41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2.69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aca="true" t="shared" si="0" ref="I33:I43">SUM(E33:H33)</f>
        <v>4000</v>
      </c>
    </row>
    <row r="34" spans="1:9" ht="25.5">
      <c r="A34" s="47" t="s">
        <v>38</v>
      </c>
      <c r="B34" s="21" t="s">
        <v>17</v>
      </c>
      <c r="C34" s="22">
        <v>0.42</v>
      </c>
      <c r="D34" s="24">
        <f>5455.7+1659.1</f>
        <v>7114.799999999999</v>
      </c>
      <c r="E34" s="23">
        <f>$C$34*$D$34*3</f>
        <v>8964.647999999997</v>
      </c>
      <c r="F34" s="23">
        <f>$C$34*$D$34*3</f>
        <v>8964.647999999997</v>
      </c>
      <c r="G34" s="23">
        <f>$C$34*$D$34*3</f>
        <v>8964.647999999997</v>
      </c>
      <c r="H34" s="23">
        <f>$C$34*$D$34*3</f>
        <v>8964.647999999997</v>
      </c>
      <c r="I34" s="9">
        <f t="shared" si="0"/>
        <v>35858.59199999999</v>
      </c>
    </row>
    <row r="35" spans="1:9" ht="25.5">
      <c r="A35" s="47" t="s">
        <v>39</v>
      </c>
      <c r="B35" s="21" t="s">
        <v>17</v>
      </c>
      <c r="C35" s="22">
        <v>0.71</v>
      </c>
      <c r="D35" s="24">
        <f>5455.7+1659.1</f>
        <v>7114.799999999999</v>
      </c>
      <c r="E35" s="23">
        <f>$C$35*$D$35*3</f>
        <v>15154.523999999998</v>
      </c>
      <c r="F35" s="23">
        <f>$C$35*$D$35*3</f>
        <v>15154.523999999998</v>
      </c>
      <c r="G35" s="23">
        <f>$C$35*$D$35*3</f>
        <v>15154.523999999998</v>
      </c>
      <c r="H35" s="23">
        <f>$C$35*$D$35*3</f>
        <v>15154.523999999998</v>
      </c>
      <c r="I35" s="9">
        <f t="shared" si="0"/>
        <v>60618.09599999999</v>
      </c>
    </row>
    <row r="36" spans="1:9" ht="25.5">
      <c r="A36" s="20" t="s">
        <v>40</v>
      </c>
      <c r="B36" s="21" t="s">
        <v>17</v>
      </c>
      <c r="C36" s="22">
        <v>0.25</v>
      </c>
      <c r="D36" s="24">
        <f>5455.7+1659.1</f>
        <v>7114.799999999999</v>
      </c>
      <c r="E36" s="23">
        <f>$C$36*$D$36*3</f>
        <v>5336.099999999999</v>
      </c>
      <c r="F36" s="23">
        <f>$C$36*$D$36*3</f>
        <v>5336.099999999999</v>
      </c>
      <c r="G36" s="23">
        <f>$C$36*$D$36*3</f>
        <v>5336.099999999999</v>
      </c>
      <c r="H36" s="23">
        <f>$C$36*$D$36*3</f>
        <v>5336.099999999999</v>
      </c>
      <c r="I36" s="9">
        <f t="shared" si="0"/>
        <v>21344.399999999998</v>
      </c>
    </row>
    <row r="37" spans="1:9" ht="25.5">
      <c r="A37" s="47" t="s">
        <v>41</v>
      </c>
      <c r="B37" s="21" t="s">
        <v>17</v>
      </c>
      <c r="C37" s="25">
        <v>0.3</v>
      </c>
      <c r="D37" s="24">
        <f>5455.7</f>
        <v>5455.7</v>
      </c>
      <c r="E37" s="23">
        <f>$C$37*$D$37*3</f>
        <v>4910.129999999999</v>
      </c>
      <c r="F37" s="23">
        <f>$C$37*$D$37*3</f>
        <v>4910.129999999999</v>
      </c>
      <c r="G37" s="23">
        <f>$C$37*$D$37*3</f>
        <v>4910.129999999999</v>
      </c>
      <c r="H37" s="23">
        <f>$C$37*$D$37*3</f>
        <v>4910.129999999999</v>
      </c>
      <c r="I37" s="9">
        <f t="shared" si="0"/>
        <v>19640.519999999997</v>
      </c>
    </row>
    <row r="38" spans="1:9" ht="25.5">
      <c r="A38" s="26" t="s">
        <v>42</v>
      </c>
      <c r="B38" s="17"/>
      <c r="C38" s="17"/>
      <c r="D38" s="17"/>
      <c r="E38" s="23">
        <v>1000</v>
      </c>
      <c r="F38" s="23">
        <v>1000</v>
      </c>
      <c r="G38" s="23">
        <v>1000</v>
      </c>
      <c r="H38" s="23">
        <v>1000</v>
      </c>
      <c r="I38" s="9">
        <f t="shared" si="0"/>
        <v>4000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f>5455.7</f>
        <v>5455.7</v>
      </c>
      <c r="E39" s="23">
        <f>$C$39*$D$39*3</f>
        <v>10638.615</v>
      </c>
      <c r="F39" s="23">
        <f>$C$39*$D$39*3</f>
        <v>10638.615</v>
      </c>
      <c r="G39" s="23">
        <f>$C$39*$D$39*3</f>
        <v>10638.615</v>
      </c>
      <c r="H39" s="23">
        <f>$C$39*$D$39*3</f>
        <v>10638.615</v>
      </c>
      <c r="I39" s="9">
        <f t="shared" si="0"/>
        <v>42554.46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f>5455.7</f>
        <v>5455.7</v>
      </c>
      <c r="E40" s="23">
        <f>$C$40*$D$40*3</f>
        <v>9001.905</v>
      </c>
      <c r="F40" s="23">
        <f>$C$40*$D$40*3</f>
        <v>9001.905</v>
      </c>
      <c r="G40" s="23">
        <f>$C$40*$D$40*3</f>
        <v>9001.905</v>
      </c>
      <c r="H40" s="23">
        <f>$C$40*$D$40*3</f>
        <v>9001.905</v>
      </c>
      <c r="I40" s="9">
        <f t="shared" si="0"/>
        <v>36007.62</v>
      </c>
    </row>
    <row r="41" spans="1:9" ht="12.75">
      <c r="A41" s="20" t="s">
        <v>45</v>
      </c>
      <c r="B41" s="17" t="s">
        <v>18</v>
      </c>
      <c r="C41" s="17">
        <v>100</v>
      </c>
      <c r="D41" s="17">
        <v>3</v>
      </c>
      <c r="E41" s="9">
        <f>$C$41*$D$41*3</f>
        <v>900</v>
      </c>
      <c r="F41" s="9">
        <f>$C$41*$D$41*3</f>
        <v>900</v>
      </c>
      <c r="G41" s="9">
        <f>$C$41*$D$41*3</f>
        <v>900</v>
      </c>
      <c r="H41" s="9">
        <f>$C$41*$D$41*3</f>
        <v>900</v>
      </c>
      <c r="I41" s="9">
        <f t="shared" si="0"/>
        <v>3600</v>
      </c>
    </row>
    <row r="42" spans="1:9" ht="25.5">
      <c r="A42" s="48" t="s">
        <v>46</v>
      </c>
      <c r="B42" s="17"/>
      <c r="C42" s="17"/>
      <c r="D42" s="17"/>
      <c r="E42" s="9">
        <v>1000</v>
      </c>
      <c r="F42" s="9">
        <v>1000</v>
      </c>
      <c r="G42" s="9">
        <v>1000</v>
      </c>
      <c r="H42" s="9">
        <v>1000</v>
      </c>
      <c r="I42" s="9">
        <f t="shared" si="0"/>
        <v>4000</v>
      </c>
    </row>
    <row r="43" spans="1:9" ht="12.75">
      <c r="A43" s="20" t="s">
        <v>47</v>
      </c>
      <c r="B43" s="28" t="s">
        <v>19</v>
      </c>
      <c r="C43" s="29">
        <v>1</v>
      </c>
      <c r="D43" s="30">
        <v>750</v>
      </c>
      <c r="E43" s="9"/>
      <c r="F43" s="9">
        <f>C43*D43/2</f>
        <v>375</v>
      </c>
      <c r="G43" s="9"/>
      <c r="H43" s="9">
        <f>C43/2*D43</f>
        <v>375</v>
      </c>
      <c r="I43" s="9">
        <f t="shared" si="0"/>
        <v>750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f>5455.7</f>
        <v>5455.7</v>
      </c>
      <c r="E45" s="23">
        <f>$C$45*$D$45*3</f>
        <v>7856.208</v>
      </c>
      <c r="F45" s="23">
        <f>$C$45*$D$45*3</f>
        <v>7856.208</v>
      </c>
      <c r="G45" s="23">
        <f>$C$45*$D$45*3</f>
        <v>7856.208</v>
      </c>
      <c r="H45" s="23">
        <f>$C$45*$D$45*3</f>
        <v>7856.208</v>
      </c>
      <c r="I45" s="9">
        <f>SUM(E45:H45)</f>
        <v>31424.832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3</v>
      </c>
      <c r="E47" s="23">
        <f>$C$47*$D$47*3</f>
        <v>41850</v>
      </c>
      <c r="F47" s="23">
        <f>$C$47*$D$47*3</f>
        <v>41850</v>
      </c>
      <c r="G47" s="23">
        <f>$C$47*$D$47*3</f>
        <v>41850</v>
      </c>
      <c r="H47" s="23">
        <f>$C$47*$D$47*3</f>
        <v>41850</v>
      </c>
      <c r="I47" s="9">
        <f>SUM(E47:H47)</f>
        <v>167400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f>5455.7</f>
        <v>5455.7</v>
      </c>
      <c r="E49" s="23">
        <f>$C$49*$D$49*3</f>
        <v>26514.702</v>
      </c>
      <c r="F49" s="23">
        <f>$C$49*$D$49*3</f>
        <v>26514.702</v>
      </c>
      <c r="G49" s="23">
        <f>$C$49*$D$49*3</f>
        <v>26514.702</v>
      </c>
      <c r="H49" s="23">
        <f>$C$49*$D$49*3</f>
        <v>26514.702</v>
      </c>
      <c r="I49" s="9">
        <f>SUM(E49:H49)</f>
        <v>106058.808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7661</v>
      </c>
      <c r="F51" s="9">
        <v>7661</v>
      </c>
      <c r="G51" s="9">
        <v>7661</v>
      </c>
      <c r="H51" s="9">
        <v>7662</v>
      </c>
      <c r="I51" s="9">
        <f>SUM(E51:H51)</f>
        <v>30645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104</v>
      </c>
      <c r="E52" s="23">
        <f>$C$52*$D$52*3</f>
        <v>1228.271616</v>
      </c>
      <c r="F52" s="23">
        <f>$C$52*$D$52*3</f>
        <v>1228.271616</v>
      </c>
      <c r="G52" s="23">
        <f>$C$52*$D$52*3</f>
        <v>1228.271616</v>
      </c>
      <c r="H52" s="23">
        <f>$C$52*$D$52*3</f>
        <v>1228.271616</v>
      </c>
      <c r="I52" s="9">
        <f>SUM(E52:H52)</f>
        <v>4913.086464</v>
      </c>
    </row>
    <row r="53" spans="1:9" ht="12.75">
      <c r="A53" s="32" t="s">
        <v>20</v>
      </c>
      <c r="B53" s="33"/>
      <c r="C53" s="34"/>
      <c r="D53" s="33"/>
      <c r="E53" s="12">
        <f>SUM(E33:E52)</f>
        <v>143016.103616</v>
      </c>
      <c r="F53" s="12">
        <f>SUM(F33:F52)</f>
        <v>143391.103616</v>
      </c>
      <c r="G53" s="12">
        <f>SUM(G33:G52)</f>
        <v>143016.103616</v>
      </c>
      <c r="H53" s="12">
        <f>SUM(H33:H52)</f>
        <v>143392.103616</v>
      </c>
      <c r="I53" s="12">
        <f>SUM(I33:I52)</f>
        <v>572815.414464</v>
      </c>
    </row>
    <row r="54" spans="1:9" ht="12.75">
      <c r="A54" s="10" t="s">
        <v>35</v>
      </c>
      <c r="B54" s="6"/>
      <c r="C54" s="35"/>
      <c r="D54" s="6"/>
      <c r="E54" s="36">
        <v>17032</v>
      </c>
      <c r="F54" s="36">
        <v>17032</v>
      </c>
      <c r="G54" s="36">
        <v>17032</v>
      </c>
      <c r="H54" s="36">
        <v>17032</v>
      </c>
      <c r="I54" s="36">
        <f>SUM(E54:H54)</f>
        <v>68128</v>
      </c>
    </row>
    <row r="55" spans="1:9" ht="12.75">
      <c r="A55" s="37" t="s">
        <v>21</v>
      </c>
      <c r="B55" s="6"/>
      <c r="C55" s="35"/>
      <c r="D55" s="6"/>
      <c r="E55" s="38">
        <f>SUM(E53:E54)</f>
        <v>160048.103616</v>
      </c>
      <c r="F55" s="38">
        <f>SUM(F53:F54)</f>
        <v>160423.103616</v>
      </c>
      <c r="G55" s="38">
        <f>SUM(G53:G54)</f>
        <v>160048.103616</v>
      </c>
      <c r="H55" s="38">
        <f>SUM(H53:H54)</f>
        <v>160424.103616</v>
      </c>
      <c r="I55" s="38">
        <f>SUM(I53:I54)</f>
        <v>640943.414464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-19130.02946400002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B21" sqref="B21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9" width="8.5742187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62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-48952.63</v>
      </c>
    </row>
    <row r="19" spans="1:2" ht="25.5">
      <c r="A19" s="42" t="s">
        <v>24</v>
      </c>
      <c r="B19" s="9">
        <v>272302.62</v>
      </c>
    </row>
    <row r="20" spans="1:2" ht="25.5">
      <c r="A20" s="42" t="s">
        <v>25</v>
      </c>
      <c r="B20" s="9">
        <v>32431.55</v>
      </c>
    </row>
    <row r="21" spans="1:2" ht="25.5">
      <c r="A21" s="42" t="s">
        <v>26</v>
      </c>
      <c r="B21" s="9">
        <v>64251.18</v>
      </c>
    </row>
    <row r="22" spans="1:2" ht="12.75">
      <c r="A22" s="42" t="s">
        <v>27</v>
      </c>
      <c r="B22" s="9">
        <v>110144.88</v>
      </c>
    </row>
    <row r="23" spans="1:2" ht="12.75">
      <c r="A23" s="10" t="s">
        <v>35</v>
      </c>
      <c r="B23" s="9">
        <f>(B19+B20+B21+B22)*10%</f>
        <v>47913.023</v>
      </c>
    </row>
    <row r="24" spans="1:2" ht="12.75">
      <c r="A24" s="43" t="s">
        <v>28</v>
      </c>
      <c r="B24" s="12">
        <f>B18+B19+B20+B21+B22-B23</f>
        <v>382264.577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1.05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</v>
      </c>
      <c r="F33" s="23">
        <v>1000</v>
      </c>
      <c r="G33" s="23">
        <v>1000</v>
      </c>
      <c r="H33" s="23">
        <v>1000</v>
      </c>
      <c r="I33" s="9">
        <f aca="true" t="shared" si="0" ref="I33:I43">SUM(E33:H33)</f>
        <v>4000</v>
      </c>
    </row>
    <row r="34" spans="1:9" ht="25.5">
      <c r="A34" s="47" t="s">
        <v>38</v>
      </c>
      <c r="B34" s="21" t="s">
        <v>17</v>
      </c>
      <c r="C34" s="22">
        <v>0.42</v>
      </c>
      <c r="D34" s="24">
        <v>5099.3</v>
      </c>
      <c r="E34" s="23">
        <f>$C$34*$D$34*3</f>
        <v>6425.118</v>
      </c>
      <c r="F34" s="23">
        <f>$C$34*$D$34*3</f>
        <v>6425.118</v>
      </c>
      <c r="G34" s="23">
        <f>$C$34*$D$34*3</f>
        <v>6425.118</v>
      </c>
      <c r="H34" s="23">
        <f>$C$34*$D$34*3</f>
        <v>6425.118</v>
      </c>
      <c r="I34" s="9">
        <f t="shared" si="0"/>
        <v>25700.472</v>
      </c>
    </row>
    <row r="35" spans="1:9" ht="25.5">
      <c r="A35" s="47" t="s">
        <v>39</v>
      </c>
      <c r="B35" s="21" t="s">
        <v>17</v>
      </c>
      <c r="C35" s="22">
        <v>0.71</v>
      </c>
      <c r="D35" s="24">
        <v>5099.3</v>
      </c>
      <c r="E35" s="23">
        <f>$C$35*$D$35*3</f>
        <v>10861.509</v>
      </c>
      <c r="F35" s="23">
        <f>$C$35*$D$35*3</f>
        <v>10861.509</v>
      </c>
      <c r="G35" s="23">
        <f>$C$35*$D$35*3</f>
        <v>10861.509</v>
      </c>
      <c r="H35" s="23">
        <f>$C$35*$D$35*3</f>
        <v>10861.509</v>
      </c>
      <c r="I35" s="9">
        <f t="shared" si="0"/>
        <v>43446.036</v>
      </c>
    </row>
    <row r="36" spans="1:9" ht="25.5">
      <c r="A36" s="20" t="s">
        <v>40</v>
      </c>
      <c r="B36" s="21" t="s">
        <v>17</v>
      </c>
      <c r="C36" s="22">
        <v>0.25</v>
      </c>
      <c r="D36" s="24">
        <v>5099.3</v>
      </c>
      <c r="E36" s="23">
        <f>$C$36*$D$36*3</f>
        <v>3824.4750000000004</v>
      </c>
      <c r="F36" s="23">
        <f>$C$36*$D$36*3</f>
        <v>3824.4750000000004</v>
      </c>
      <c r="G36" s="23">
        <f>$C$36*$D$36*3</f>
        <v>3824.4750000000004</v>
      </c>
      <c r="H36" s="23">
        <f>$C$36*$D$36*3</f>
        <v>3824.4750000000004</v>
      </c>
      <c r="I36" s="9">
        <f t="shared" si="0"/>
        <v>15297.900000000001</v>
      </c>
    </row>
    <row r="37" spans="1:9" ht="25.5">
      <c r="A37" s="47" t="s">
        <v>41</v>
      </c>
      <c r="B37" s="21" t="s">
        <v>17</v>
      </c>
      <c r="C37" s="25">
        <v>0.3</v>
      </c>
      <c r="D37" s="24">
        <v>5099.3</v>
      </c>
      <c r="E37" s="23">
        <f>$C$37*$D$37*3</f>
        <v>4589.37</v>
      </c>
      <c r="F37" s="23">
        <f>$C$37*$D$37*3</f>
        <v>4589.37</v>
      </c>
      <c r="G37" s="23">
        <f>$C$37*$D$37*3</f>
        <v>4589.37</v>
      </c>
      <c r="H37" s="23">
        <f>$C$37*$D$37*3</f>
        <v>4589.37</v>
      </c>
      <c r="I37" s="9">
        <f t="shared" si="0"/>
        <v>18357.48</v>
      </c>
    </row>
    <row r="38" spans="1:9" ht="25.5">
      <c r="A38" s="26" t="s">
        <v>42</v>
      </c>
      <c r="B38" s="17"/>
      <c r="C38" s="17"/>
      <c r="D38" s="17"/>
      <c r="E38" s="23">
        <v>1000</v>
      </c>
      <c r="F38" s="23">
        <v>1000</v>
      </c>
      <c r="G38" s="23">
        <v>1000</v>
      </c>
      <c r="H38" s="23">
        <v>1000</v>
      </c>
      <c r="I38" s="9">
        <f t="shared" si="0"/>
        <v>4000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v>5099.3</v>
      </c>
      <c r="E39" s="23">
        <f>$C$39*$D$39*3</f>
        <v>9943.635</v>
      </c>
      <c r="F39" s="23">
        <f>$C$39*$D$39*3</f>
        <v>9943.635</v>
      </c>
      <c r="G39" s="23">
        <f>$C$39*$D$39*3</f>
        <v>9943.635</v>
      </c>
      <c r="H39" s="23">
        <f>$C$39*$D$39*3</f>
        <v>9943.635</v>
      </c>
      <c r="I39" s="9">
        <f t="shared" si="0"/>
        <v>39774.54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v>5099.3</v>
      </c>
      <c r="E40" s="23">
        <f>$C$40*$D$40*3</f>
        <v>8413.845000000001</v>
      </c>
      <c r="F40" s="23">
        <f>$C$40*$D$40*3</f>
        <v>8413.845000000001</v>
      </c>
      <c r="G40" s="23">
        <f>$C$40*$D$40*3</f>
        <v>8413.845000000001</v>
      </c>
      <c r="H40" s="23">
        <f>$C$40*$D$40*3</f>
        <v>8413.845000000001</v>
      </c>
      <c r="I40" s="9">
        <f t="shared" si="0"/>
        <v>33655.380000000005</v>
      </c>
    </row>
    <row r="41" spans="1:9" ht="12.75">
      <c r="A41" s="20" t="s">
        <v>45</v>
      </c>
      <c r="B41" s="17" t="s">
        <v>18</v>
      </c>
      <c r="C41" s="17">
        <v>100</v>
      </c>
      <c r="D41" s="17">
        <v>1</v>
      </c>
      <c r="E41" s="9">
        <f>$C$41*$D$41*3</f>
        <v>300</v>
      </c>
      <c r="F41" s="9">
        <f>$C$41*$D$41*3</f>
        <v>300</v>
      </c>
      <c r="G41" s="9">
        <f>$C$41*$D$41*3</f>
        <v>300</v>
      </c>
      <c r="H41" s="9">
        <f>$C$41*$D$41*3</f>
        <v>300</v>
      </c>
      <c r="I41" s="9">
        <f t="shared" si="0"/>
        <v>1200</v>
      </c>
    </row>
    <row r="42" spans="1:9" ht="25.5">
      <c r="A42" s="48" t="s">
        <v>46</v>
      </c>
      <c r="B42" s="17"/>
      <c r="C42" s="17"/>
      <c r="D42" s="17"/>
      <c r="E42" s="9">
        <v>1000</v>
      </c>
      <c r="F42" s="9">
        <v>1000</v>
      </c>
      <c r="G42" s="9">
        <v>1000</v>
      </c>
      <c r="H42" s="9">
        <v>1000</v>
      </c>
      <c r="I42" s="9">
        <f t="shared" si="0"/>
        <v>4000</v>
      </c>
    </row>
    <row r="43" spans="1:9" ht="12.75">
      <c r="A43" s="20" t="s">
        <v>47</v>
      </c>
      <c r="B43" s="28" t="s">
        <v>19</v>
      </c>
      <c r="C43" s="29">
        <v>1</v>
      </c>
      <c r="D43" s="30">
        <v>724.2</v>
      </c>
      <c r="E43" s="9"/>
      <c r="F43" s="9">
        <f>C43*D43/2</f>
        <v>362.1</v>
      </c>
      <c r="G43" s="9"/>
      <c r="H43" s="9">
        <f>C43/2*D43</f>
        <v>362.1</v>
      </c>
      <c r="I43" s="9">
        <f t="shared" si="0"/>
        <v>724.2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5099.3</v>
      </c>
      <c r="E45" s="23">
        <f>$C$45*$D$45*3</f>
        <v>7342.992</v>
      </c>
      <c r="F45" s="23">
        <f>$C$45*$D$45*3</f>
        <v>7342.992</v>
      </c>
      <c r="G45" s="23">
        <f>$C$45*$D$45*3</f>
        <v>7342.992</v>
      </c>
      <c r="H45" s="23">
        <f>$C$45*$D$45*3</f>
        <v>7342.992</v>
      </c>
      <c r="I45" s="9">
        <f>SUM(E45:H45)</f>
        <v>29371.968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1</v>
      </c>
      <c r="E47" s="23">
        <f>$C$47*$D$47*3</f>
        <v>13950</v>
      </c>
      <c r="F47" s="23">
        <f>$C$47*$D$47*3</f>
        <v>13950</v>
      </c>
      <c r="G47" s="23">
        <f>$C$47*$D$47*3</f>
        <v>13950</v>
      </c>
      <c r="H47" s="23">
        <f>$C$47*$D$47*3</f>
        <v>13950</v>
      </c>
      <c r="I47" s="9">
        <f>SUM(E47:H47)</f>
        <v>55800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5099.3</v>
      </c>
      <c r="E49" s="23">
        <f>$C$49*$D$49*3</f>
        <v>24782.597999999998</v>
      </c>
      <c r="F49" s="23">
        <f>$C$49*$D$49*3</f>
        <v>24782.597999999998</v>
      </c>
      <c r="G49" s="23">
        <f>$C$49*$D$49*3</f>
        <v>24782.597999999998</v>
      </c>
      <c r="H49" s="23">
        <f>$C$49*$D$49*3</f>
        <v>24782.597999999998</v>
      </c>
      <c r="I49" s="9">
        <f>SUM(E49:H49)</f>
        <v>99130.39199999999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5427</v>
      </c>
      <c r="F51" s="9">
        <v>5427</v>
      </c>
      <c r="G51" s="9">
        <v>5427</v>
      </c>
      <c r="H51" s="9">
        <v>5427</v>
      </c>
      <c r="I51" s="9">
        <f>SUM(E51:H51)</f>
        <v>21708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143</v>
      </c>
      <c r="E52" s="23">
        <f>$C$52*$D$52*3</f>
        <v>1688.8734719999998</v>
      </c>
      <c r="F52" s="23">
        <f>$C$52*$D$52*3</f>
        <v>1688.8734719999998</v>
      </c>
      <c r="G52" s="23">
        <f>$C$52*$D$52*3</f>
        <v>1688.8734719999998</v>
      </c>
      <c r="H52" s="23">
        <f>$C$52*$D$52*3</f>
        <v>1688.8734719999998</v>
      </c>
      <c r="I52" s="9">
        <f>SUM(E52:H52)</f>
        <v>6755.493887999999</v>
      </c>
    </row>
    <row r="53" spans="1:9" ht="12.75">
      <c r="A53" s="32" t="s">
        <v>20</v>
      </c>
      <c r="B53" s="33"/>
      <c r="C53" s="34"/>
      <c r="D53" s="33"/>
      <c r="E53" s="12">
        <f>SUM(E33:E52)</f>
        <v>100549.415472</v>
      </c>
      <c r="F53" s="12">
        <f>SUM(F33:F52)</f>
        <v>100911.515472</v>
      </c>
      <c r="G53" s="12">
        <f>SUM(G33:G52)</f>
        <v>100549.415472</v>
      </c>
      <c r="H53" s="12">
        <f>SUM(H33:H52)</f>
        <v>100911.515472</v>
      </c>
      <c r="I53" s="12">
        <f>SUM(I33:I52)</f>
        <v>402921.86188800004</v>
      </c>
    </row>
    <row r="54" spans="1:9" ht="12.75">
      <c r="A54" s="10" t="s">
        <v>35</v>
      </c>
      <c r="B54" s="6"/>
      <c r="C54" s="35"/>
      <c r="D54" s="6"/>
      <c r="E54" s="36">
        <v>11978</v>
      </c>
      <c r="F54" s="36">
        <v>11978</v>
      </c>
      <c r="G54" s="36">
        <v>11978</v>
      </c>
      <c r="H54" s="36">
        <v>11979</v>
      </c>
      <c r="I54" s="36">
        <f>SUM(E54:H54)</f>
        <v>47913</v>
      </c>
    </row>
    <row r="55" spans="1:9" ht="12.75">
      <c r="A55" s="37" t="s">
        <v>21</v>
      </c>
      <c r="B55" s="6"/>
      <c r="C55" s="35"/>
      <c r="D55" s="6"/>
      <c r="E55" s="38">
        <f>SUM(E53:E54)</f>
        <v>112527.415472</v>
      </c>
      <c r="F55" s="38">
        <f>SUM(F53:F54)</f>
        <v>112889.515472</v>
      </c>
      <c r="G55" s="38">
        <f>SUM(G53:G54)</f>
        <v>112527.415472</v>
      </c>
      <c r="H55" s="38">
        <f>SUM(H53:H54)</f>
        <v>112890.515472</v>
      </c>
      <c r="I55" s="38">
        <f>SUM(I53:I54)</f>
        <v>450834.86188800004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-20657.284888000053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5">
      <selection activeCell="B21" sqref="B21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63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-15092.68</v>
      </c>
    </row>
    <row r="19" spans="1:2" ht="25.5">
      <c r="A19" s="42" t="s">
        <v>24</v>
      </c>
      <c r="B19" s="9">
        <v>624518.34</v>
      </c>
    </row>
    <row r="20" spans="1:2" ht="25.5">
      <c r="A20" s="42" t="s">
        <v>25</v>
      </c>
      <c r="B20" s="9">
        <v>74380.84</v>
      </c>
    </row>
    <row r="21" spans="1:2" ht="25.5">
      <c r="A21" s="42" t="s">
        <v>26</v>
      </c>
      <c r="B21" s="9">
        <v>312960.88</v>
      </c>
    </row>
    <row r="22" spans="1:2" ht="12.75">
      <c r="A22" s="42" t="s">
        <v>27</v>
      </c>
      <c r="B22" s="9">
        <v>252614.16</v>
      </c>
    </row>
    <row r="23" spans="1:2" ht="12.75">
      <c r="A23" s="10" t="s">
        <v>35</v>
      </c>
      <c r="B23" s="9">
        <f>(B19+B20+B21+B22)*10%</f>
        <v>126447.422</v>
      </c>
    </row>
    <row r="24" spans="1:2" ht="12.75">
      <c r="A24" s="43" t="s">
        <v>28</v>
      </c>
      <c r="B24" s="12">
        <f>B18+B19+B20+B21+B22-B23</f>
        <v>1122934.1179999998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2.23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10000</v>
      </c>
      <c r="F33" s="23">
        <v>3000</v>
      </c>
      <c r="G33" s="23">
        <v>3000</v>
      </c>
      <c r="H33" s="23">
        <v>3000</v>
      </c>
      <c r="I33" s="9">
        <f aca="true" t="shared" si="0" ref="I33:I43">SUM(E33:H33)</f>
        <v>19000</v>
      </c>
    </row>
    <row r="34" spans="1:9" ht="25.5">
      <c r="A34" s="47" t="s">
        <v>38</v>
      </c>
      <c r="B34" s="21" t="s">
        <v>17</v>
      </c>
      <c r="C34" s="22">
        <v>0.42</v>
      </c>
      <c r="D34" s="24">
        <v>11695.1</v>
      </c>
      <c r="E34" s="23">
        <f>$C$34*$D$34*3</f>
        <v>14735.826000000001</v>
      </c>
      <c r="F34" s="23">
        <f>$C$34*$D$34*3</f>
        <v>14735.826000000001</v>
      </c>
      <c r="G34" s="23">
        <f>$C$34*$D$34*3</f>
        <v>14735.826000000001</v>
      </c>
      <c r="H34" s="23">
        <f>$C$34*$D$34*3</f>
        <v>14735.826000000001</v>
      </c>
      <c r="I34" s="9">
        <f t="shared" si="0"/>
        <v>58943.304000000004</v>
      </c>
    </row>
    <row r="35" spans="1:9" ht="25.5">
      <c r="A35" s="47" t="s">
        <v>39</v>
      </c>
      <c r="B35" s="21" t="s">
        <v>17</v>
      </c>
      <c r="C35" s="22">
        <v>0.71</v>
      </c>
      <c r="D35" s="24">
        <v>11695.1</v>
      </c>
      <c r="E35" s="23">
        <f>$C$35*$D$35*3</f>
        <v>24910.563000000002</v>
      </c>
      <c r="F35" s="23">
        <f>$C$35*$D$35*3</f>
        <v>24910.563000000002</v>
      </c>
      <c r="G35" s="23">
        <f>$C$35*$D$35*3</f>
        <v>24910.563000000002</v>
      </c>
      <c r="H35" s="23">
        <f>$C$35*$D$35*3</f>
        <v>24910.563000000002</v>
      </c>
      <c r="I35" s="9">
        <f t="shared" si="0"/>
        <v>99642.25200000001</v>
      </c>
    </row>
    <row r="36" spans="1:9" ht="25.5">
      <c r="A36" s="20" t="s">
        <v>40</v>
      </c>
      <c r="B36" s="21" t="s">
        <v>17</v>
      </c>
      <c r="C36" s="22">
        <v>0.25</v>
      </c>
      <c r="D36" s="24">
        <v>11695.1</v>
      </c>
      <c r="E36" s="23">
        <f>$C$36*$D$36*3</f>
        <v>8771.325</v>
      </c>
      <c r="F36" s="23">
        <f>$C$36*$D$36*3</f>
        <v>8771.325</v>
      </c>
      <c r="G36" s="23">
        <f>$C$36*$D$36*3</f>
        <v>8771.325</v>
      </c>
      <c r="H36" s="23">
        <f>$C$36*$D$36*3</f>
        <v>8771.325</v>
      </c>
      <c r="I36" s="9">
        <f t="shared" si="0"/>
        <v>35085.3</v>
      </c>
    </row>
    <row r="37" spans="1:9" ht="25.5">
      <c r="A37" s="47" t="s">
        <v>41</v>
      </c>
      <c r="B37" s="21" t="s">
        <v>17</v>
      </c>
      <c r="C37" s="25">
        <v>0.3</v>
      </c>
      <c r="D37" s="24">
        <v>11695.1</v>
      </c>
      <c r="E37" s="23">
        <f>$C$37*$D$37*3</f>
        <v>10525.59</v>
      </c>
      <c r="F37" s="23">
        <f>$C$37*$D$37*3</f>
        <v>10525.59</v>
      </c>
      <c r="G37" s="23">
        <f>$C$37*$D$37*3</f>
        <v>10525.59</v>
      </c>
      <c r="H37" s="23">
        <f>$C$37*$D$37*3</f>
        <v>10525.59</v>
      </c>
      <c r="I37" s="9">
        <f t="shared" si="0"/>
        <v>42102.36</v>
      </c>
    </row>
    <row r="38" spans="1:9" ht="25.5">
      <c r="A38" s="26" t="s">
        <v>42</v>
      </c>
      <c r="B38" s="17"/>
      <c r="C38" s="17"/>
      <c r="D38" s="17"/>
      <c r="E38" s="23">
        <v>8000</v>
      </c>
      <c r="F38" s="23">
        <v>8000</v>
      </c>
      <c r="G38" s="23">
        <v>8000</v>
      </c>
      <c r="H38" s="23">
        <v>8000</v>
      </c>
      <c r="I38" s="9">
        <f t="shared" si="0"/>
        <v>32000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v>11695.1</v>
      </c>
      <c r="E39" s="23">
        <f>$C$39*$D$39*3</f>
        <v>22805.445</v>
      </c>
      <c r="F39" s="23">
        <f>$C$39*$D$39*3</f>
        <v>22805.445</v>
      </c>
      <c r="G39" s="23">
        <f>$C$39*$D$39*3</f>
        <v>22805.445</v>
      </c>
      <c r="H39" s="23">
        <f>$C$39*$D$39*3</f>
        <v>22805.445</v>
      </c>
      <c r="I39" s="9">
        <f t="shared" si="0"/>
        <v>91221.78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v>11695.1</v>
      </c>
      <c r="E40" s="23">
        <f>$C$40*$D$40*3</f>
        <v>19296.915</v>
      </c>
      <c r="F40" s="23">
        <f>$C$40*$D$40*3</f>
        <v>19296.915</v>
      </c>
      <c r="G40" s="23">
        <f>$C$40*$D$40*3</f>
        <v>19296.915</v>
      </c>
      <c r="H40" s="23">
        <f>$C$40*$D$40*3</f>
        <v>19296.915</v>
      </c>
      <c r="I40" s="9">
        <f t="shared" si="0"/>
        <v>77187.66</v>
      </c>
    </row>
    <row r="41" spans="1:9" ht="12.75">
      <c r="A41" s="20" t="s">
        <v>45</v>
      </c>
      <c r="B41" s="17" t="s">
        <v>18</v>
      </c>
      <c r="C41" s="17">
        <v>100</v>
      </c>
      <c r="D41" s="17">
        <v>5</v>
      </c>
      <c r="E41" s="9">
        <f>$C$41*$D$41*3</f>
        <v>1500</v>
      </c>
      <c r="F41" s="9">
        <f>$C$41*$D$41*3</f>
        <v>1500</v>
      </c>
      <c r="G41" s="9">
        <f>$C$41*$D$41*3</f>
        <v>1500</v>
      </c>
      <c r="H41" s="9">
        <f>$C$41*$D$41*3</f>
        <v>1500</v>
      </c>
      <c r="I41" s="9">
        <f t="shared" si="0"/>
        <v>6000</v>
      </c>
    </row>
    <row r="42" spans="1:9" ht="25.5">
      <c r="A42" s="48" t="s">
        <v>46</v>
      </c>
      <c r="B42" s="17"/>
      <c r="C42" s="17"/>
      <c r="D42" s="17"/>
      <c r="E42" s="23">
        <v>7625</v>
      </c>
      <c r="F42" s="23">
        <v>5000</v>
      </c>
      <c r="G42" s="23">
        <v>5000</v>
      </c>
      <c r="H42" s="23">
        <v>5000</v>
      </c>
      <c r="I42" s="9">
        <f t="shared" si="0"/>
        <v>22625</v>
      </c>
    </row>
    <row r="43" spans="1:9" ht="12.75">
      <c r="A43" s="20" t="s">
        <v>47</v>
      </c>
      <c r="B43" s="28" t="s">
        <v>19</v>
      </c>
      <c r="C43" s="29">
        <v>1</v>
      </c>
      <c r="D43" s="30">
        <v>1394.3</v>
      </c>
      <c r="E43" s="9"/>
      <c r="F43" s="9">
        <f>C43*D43/2</f>
        <v>697.15</v>
      </c>
      <c r="G43" s="9"/>
      <c r="H43" s="9">
        <f>C43/2*D43</f>
        <v>697.15</v>
      </c>
      <c r="I43" s="9">
        <f t="shared" si="0"/>
        <v>1394.3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11695.1</v>
      </c>
      <c r="E45" s="23">
        <f>$C$45*$D$45*3</f>
        <v>16840.944</v>
      </c>
      <c r="F45" s="23">
        <f>$C$45*$D$45*3</f>
        <v>16840.944</v>
      </c>
      <c r="G45" s="23">
        <f>$C$45*$D$45*3</f>
        <v>16840.944</v>
      </c>
      <c r="H45" s="23">
        <f>$C$45*$D$45*3</f>
        <v>16840.944</v>
      </c>
      <c r="I45" s="9">
        <f>SUM(E45:H45)</f>
        <v>67363.776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5</v>
      </c>
      <c r="E47" s="23">
        <f>$C$47*$D$47*3</f>
        <v>69750</v>
      </c>
      <c r="F47" s="23">
        <f>$C$47*$D$47*3</f>
        <v>69750</v>
      </c>
      <c r="G47" s="23">
        <f>$C$47*$D$47*3</f>
        <v>69750</v>
      </c>
      <c r="H47" s="23">
        <f>$C$47*$D$47*3</f>
        <v>69750</v>
      </c>
      <c r="I47" s="9">
        <f>SUM(E47:H47)</f>
        <v>279000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11695.1</v>
      </c>
      <c r="E49" s="23">
        <f>$C$49*$D$49*3</f>
        <v>56838.186</v>
      </c>
      <c r="F49" s="23">
        <f>$C$49*$D$49*3</f>
        <v>56838.186</v>
      </c>
      <c r="G49" s="23">
        <f>$C$49*$D$49*3</f>
        <v>56838.186</v>
      </c>
      <c r="H49" s="23">
        <f>$C$49*$D$49*3</f>
        <v>56838.186</v>
      </c>
      <c r="I49" s="9">
        <f>SUM(E49:H49)</f>
        <v>227352.744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13606</v>
      </c>
      <c r="F51" s="9">
        <v>13606</v>
      </c>
      <c r="G51" s="9">
        <v>13607</v>
      </c>
      <c r="H51" s="9">
        <v>13607</v>
      </c>
      <c r="I51" s="9">
        <f>SUM(E51:H51)</f>
        <v>54426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203</v>
      </c>
      <c r="E52" s="23">
        <f>$C$52*$D$52*3</f>
        <v>2397.491712</v>
      </c>
      <c r="F52" s="23">
        <f>$C$52*$D$52*3</f>
        <v>2397.491712</v>
      </c>
      <c r="G52" s="23">
        <f>$C$52*$D$52*3</f>
        <v>2397.491712</v>
      </c>
      <c r="H52" s="23">
        <f>$C$52*$D$52*3</f>
        <v>2397.491712</v>
      </c>
      <c r="I52" s="9">
        <f>SUM(E52:H52)</f>
        <v>9589.966848</v>
      </c>
    </row>
    <row r="53" spans="1:9" ht="12.75">
      <c r="A53" s="32" t="s">
        <v>20</v>
      </c>
      <c r="B53" s="33"/>
      <c r="C53" s="34"/>
      <c r="D53" s="33"/>
      <c r="E53" s="12">
        <f>SUM(E33:E52)</f>
        <v>287603.285712</v>
      </c>
      <c r="F53" s="12">
        <f>SUM(F33:F52)</f>
        <v>278675.435712</v>
      </c>
      <c r="G53" s="12">
        <f>SUM(G33:G52)</f>
        <v>277979.285712</v>
      </c>
      <c r="H53" s="12">
        <f>SUM(H33:H52)</f>
        <v>278676.435712</v>
      </c>
      <c r="I53" s="12">
        <f>SUM(I33:I52)</f>
        <v>1122934.442848</v>
      </c>
    </row>
    <row r="54" spans="1:9" ht="12.75">
      <c r="A54" s="10" t="s">
        <v>35</v>
      </c>
      <c r="B54" s="6"/>
      <c r="C54" s="35"/>
      <c r="D54" s="6"/>
      <c r="E54" s="36">
        <v>31612</v>
      </c>
      <c r="F54" s="36">
        <v>31612</v>
      </c>
      <c r="G54" s="36">
        <v>31612</v>
      </c>
      <c r="H54" s="36">
        <v>31611</v>
      </c>
      <c r="I54" s="36">
        <f>SUM(E54:H54)</f>
        <v>126447</v>
      </c>
    </row>
    <row r="55" spans="1:9" ht="12.75">
      <c r="A55" s="37" t="s">
        <v>21</v>
      </c>
      <c r="B55" s="6"/>
      <c r="C55" s="35"/>
      <c r="D55" s="6"/>
      <c r="E55" s="38">
        <f>SUM(E53:E54)</f>
        <v>319215.285712</v>
      </c>
      <c r="F55" s="38">
        <f>SUM(F53:F54)</f>
        <v>310287.435712</v>
      </c>
      <c r="G55" s="38">
        <f>SUM(G53:G54)</f>
        <v>309591.285712</v>
      </c>
      <c r="H55" s="38">
        <f>SUM(H53:H54)</f>
        <v>310287.435712</v>
      </c>
      <c r="I55" s="38">
        <f>SUM(I53:I54)</f>
        <v>1249381.442848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-0.32484800019301474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4">
      <selection activeCell="B24" sqref="B24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8" width="8.57421875" style="1" customWidth="1"/>
    <col min="9" max="9" width="8.8515625" style="1" customWidth="1"/>
    <col min="10" max="16384" width="9.140625" style="1" customWidth="1"/>
  </cols>
  <sheetData>
    <row r="1" spans="1:6" ht="12.75">
      <c r="A1" s="1" t="s">
        <v>0</v>
      </c>
      <c r="F1" s="1" t="s">
        <v>0</v>
      </c>
    </row>
    <row r="2" ht="12.75">
      <c r="H2" s="2"/>
    </row>
    <row r="3" spans="1:6" ht="12.75">
      <c r="A3" s="3" t="s">
        <v>1</v>
      </c>
      <c r="F3" s="4" t="s">
        <v>2</v>
      </c>
    </row>
    <row r="4" ht="12.75">
      <c r="H4" s="2"/>
    </row>
    <row r="6" spans="1:8" ht="12.75">
      <c r="A6" s="3" t="s">
        <v>3</v>
      </c>
      <c r="F6" s="1" t="s">
        <v>34</v>
      </c>
      <c r="H6" s="2"/>
    </row>
    <row r="7" spans="1:8" ht="12.75">
      <c r="A7" s="3"/>
      <c r="G7" s="5"/>
      <c r="H7" s="2"/>
    </row>
    <row r="8" spans="1:8" ht="12.75">
      <c r="A8" s="3" t="s">
        <v>3</v>
      </c>
      <c r="H8" s="2"/>
    </row>
    <row r="9" spans="1:8" ht="12.75">
      <c r="A9" s="3"/>
      <c r="H9" s="2"/>
    </row>
    <row r="10" spans="1:8" ht="12.75">
      <c r="A10" s="3"/>
      <c r="H10" s="2"/>
    </row>
    <row r="13" spans="1:9" ht="12.75">
      <c r="A13" s="107" t="s">
        <v>32</v>
      </c>
      <c r="B13" s="107"/>
      <c r="C13" s="107"/>
      <c r="D13" s="107"/>
      <c r="E13" s="107"/>
      <c r="F13" s="107"/>
      <c r="G13" s="107"/>
      <c r="H13" s="107"/>
      <c r="I13" s="107"/>
    </row>
    <row r="14" spans="1:9" ht="12.75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">
        <v>64</v>
      </c>
      <c r="B15" s="108"/>
      <c r="C15" s="108"/>
      <c r="D15" s="108"/>
      <c r="E15" s="108"/>
      <c r="F15" s="108"/>
      <c r="G15" s="108"/>
      <c r="H15" s="108"/>
      <c r="I15" s="108"/>
    </row>
    <row r="17" spans="1:2" ht="51">
      <c r="A17" s="6"/>
      <c r="B17" s="7" t="s">
        <v>33</v>
      </c>
    </row>
    <row r="18" spans="1:2" ht="12.75">
      <c r="A18" s="8" t="s">
        <v>5</v>
      </c>
      <c r="B18" s="9">
        <v>-59361.28</v>
      </c>
    </row>
    <row r="19" spans="1:2" ht="25.5">
      <c r="A19" s="42" t="s">
        <v>24</v>
      </c>
      <c r="B19" s="9">
        <v>627044.16</v>
      </c>
    </row>
    <row r="20" spans="1:2" ht="25.5">
      <c r="A20" s="42" t="s">
        <v>25</v>
      </c>
      <c r="B20" s="9">
        <v>74681.66</v>
      </c>
    </row>
    <row r="21" spans="1:2" ht="25.5">
      <c r="A21" s="42" t="s">
        <v>26</v>
      </c>
      <c r="B21" s="9">
        <v>328317.5</v>
      </c>
    </row>
    <row r="22" spans="1:2" ht="12.75">
      <c r="A22" s="42" t="s">
        <v>27</v>
      </c>
      <c r="B22" s="9">
        <v>253635.84</v>
      </c>
    </row>
    <row r="23" spans="1:2" ht="12.75">
      <c r="A23" s="10" t="s">
        <v>35</v>
      </c>
      <c r="B23" s="9">
        <f>(B19+B20+B21+B22)*10%</f>
        <v>128367.91600000003</v>
      </c>
    </row>
    <row r="24" spans="1:2" ht="12.75">
      <c r="A24" s="43" t="s">
        <v>28</v>
      </c>
      <c r="B24" s="12">
        <f>B18+B19+B20+B21+B22-B23</f>
        <v>1095949.9640000002</v>
      </c>
    </row>
    <row r="25" spans="1:2" ht="12.75">
      <c r="A25" s="42" t="s">
        <v>29</v>
      </c>
      <c r="B25" s="13">
        <v>4.45</v>
      </c>
    </row>
    <row r="26" spans="1:2" ht="25.5">
      <c r="A26" s="42" t="s">
        <v>30</v>
      </c>
      <c r="B26" s="13">
        <v>0.53</v>
      </c>
    </row>
    <row r="27" spans="1:2" ht="25.5">
      <c r="A27" s="42" t="s">
        <v>31</v>
      </c>
      <c r="B27" s="13">
        <v>2.33</v>
      </c>
    </row>
    <row r="28" spans="1:2" ht="12.75">
      <c r="A28" s="8" t="s">
        <v>6</v>
      </c>
      <c r="B28" s="13">
        <v>1.8</v>
      </c>
    </row>
    <row r="29" spans="1:2" ht="12.75">
      <c r="A29" s="14"/>
      <c r="B29" s="15"/>
    </row>
    <row r="30" spans="1:9" ht="27" customHeight="1">
      <c r="A30" s="109" t="s">
        <v>7</v>
      </c>
      <c r="B30" s="110" t="s">
        <v>8</v>
      </c>
      <c r="C30" s="109" t="s">
        <v>9</v>
      </c>
      <c r="D30" s="110" t="s">
        <v>10</v>
      </c>
      <c r="E30" s="111" t="s">
        <v>11</v>
      </c>
      <c r="F30" s="112"/>
      <c r="G30" s="112"/>
      <c r="H30" s="113"/>
      <c r="I30" s="109" t="s">
        <v>12</v>
      </c>
    </row>
    <row r="31" spans="1:9" ht="12.75">
      <c r="A31" s="110"/>
      <c r="B31" s="110"/>
      <c r="C31" s="110"/>
      <c r="D31" s="110"/>
      <c r="E31" s="17" t="s">
        <v>13</v>
      </c>
      <c r="F31" s="18" t="s">
        <v>14</v>
      </c>
      <c r="G31" s="18" t="s">
        <v>15</v>
      </c>
      <c r="H31" s="18" t="s">
        <v>16</v>
      </c>
      <c r="I31" s="110"/>
    </row>
    <row r="32" spans="1:9" ht="12.75">
      <c r="A32" s="19" t="s">
        <v>36</v>
      </c>
      <c r="B32" s="16"/>
      <c r="C32" s="16"/>
      <c r="D32" s="16"/>
      <c r="E32" s="17"/>
      <c r="F32" s="18"/>
      <c r="G32" s="18"/>
      <c r="H32" s="18"/>
      <c r="I32" s="16"/>
    </row>
    <row r="33" spans="1:9" ht="12.75">
      <c r="A33" s="20" t="s">
        <v>37</v>
      </c>
      <c r="B33" s="21"/>
      <c r="C33" s="22"/>
      <c r="D33" s="17"/>
      <c r="E33" s="23">
        <v>2663</v>
      </c>
      <c r="F33" s="23">
        <v>2500</v>
      </c>
      <c r="G33" s="23">
        <v>2500</v>
      </c>
      <c r="H33" s="23">
        <v>2500</v>
      </c>
      <c r="I33" s="9">
        <f aca="true" t="shared" si="0" ref="I33:I43">SUM(E33:H33)</f>
        <v>10163</v>
      </c>
    </row>
    <row r="34" spans="1:9" ht="25.5">
      <c r="A34" s="47" t="s">
        <v>38</v>
      </c>
      <c r="B34" s="21" t="s">
        <v>17</v>
      </c>
      <c r="C34" s="22">
        <v>0.42</v>
      </c>
      <c r="D34" s="24">
        <v>11742.4</v>
      </c>
      <c r="E34" s="23">
        <f>$C$34*$D$34*3</f>
        <v>14795.423999999999</v>
      </c>
      <c r="F34" s="23">
        <f>$C$34*$D$34*3</f>
        <v>14795.423999999999</v>
      </c>
      <c r="G34" s="23">
        <f>$C$34*$D$34*3</f>
        <v>14795.423999999999</v>
      </c>
      <c r="H34" s="23">
        <f>$C$34*$D$34*3</f>
        <v>14795.423999999999</v>
      </c>
      <c r="I34" s="9">
        <f t="shared" si="0"/>
        <v>59181.695999999996</v>
      </c>
    </row>
    <row r="35" spans="1:9" ht="25.5">
      <c r="A35" s="47" t="s">
        <v>39</v>
      </c>
      <c r="B35" s="21" t="s">
        <v>17</v>
      </c>
      <c r="C35" s="22">
        <v>0.71</v>
      </c>
      <c r="D35" s="24">
        <v>11742.4</v>
      </c>
      <c r="E35" s="23">
        <f>$C$35*$D$35*3</f>
        <v>25011.311999999998</v>
      </c>
      <c r="F35" s="23">
        <f>$C$35*$D$35*3</f>
        <v>25011.311999999998</v>
      </c>
      <c r="G35" s="23">
        <f>$C$35*$D$35*3</f>
        <v>25011.311999999998</v>
      </c>
      <c r="H35" s="23">
        <f>$C$35*$D$35*3</f>
        <v>25011.311999999998</v>
      </c>
      <c r="I35" s="9">
        <f t="shared" si="0"/>
        <v>100045.24799999999</v>
      </c>
    </row>
    <row r="36" spans="1:9" ht="25.5">
      <c r="A36" s="20" t="s">
        <v>40</v>
      </c>
      <c r="B36" s="21" t="s">
        <v>17</v>
      </c>
      <c r="C36" s="22">
        <v>0.25</v>
      </c>
      <c r="D36" s="24">
        <v>11742.4</v>
      </c>
      <c r="E36" s="23">
        <f>$C$36*$D$36*3</f>
        <v>8806.8</v>
      </c>
      <c r="F36" s="23">
        <f>$C$36*$D$36*3</f>
        <v>8806.8</v>
      </c>
      <c r="G36" s="23">
        <f>$C$36*$D$36*3</f>
        <v>8806.8</v>
      </c>
      <c r="H36" s="23">
        <f>$C$36*$D$36*3</f>
        <v>8806.8</v>
      </c>
      <c r="I36" s="9">
        <f t="shared" si="0"/>
        <v>35227.2</v>
      </c>
    </row>
    <row r="37" spans="1:9" ht="25.5">
      <c r="A37" s="47" t="s">
        <v>41</v>
      </c>
      <c r="B37" s="21" t="s">
        <v>17</v>
      </c>
      <c r="C37" s="25">
        <v>0.3</v>
      </c>
      <c r="D37" s="24">
        <v>11742.4</v>
      </c>
      <c r="E37" s="23">
        <f>$C$37*$D$37*3</f>
        <v>10568.16</v>
      </c>
      <c r="F37" s="23">
        <f>$C$37*$D$37*3</f>
        <v>10568.16</v>
      </c>
      <c r="G37" s="23">
        <f>$C$37*$D$37*3</f>
        <v>10568.16</v>
      </c>
      <c r="H37" s="23">
        <f>$C$37*$D$37*3</f>
        <v>10568.16</v>
      </c>
      <c r="I37" s="9">
        <f t="shared" si="0"/>
        <v>42272.64</v>
      </c>
    </row>
    <row r="38" spans="1:9" ht="25.5">
      <c r="A38" s="26" t="s">
        <v>42</v>
      </c>
      <c r="B38" s="17"/>
      <c r="C38" s="17"/>
      <c r="D38" s="17"/>
      <c r="E38" s="23">
        <v>3000</v>
      </c>
      <c r="F38" s="23">
        <v>3000</v>
      </c>
      <c r="G38" s="23">
        <v>3000</v>
      </c>
      <c r="H38" s="23">
        <v>3000</v>
      </c>
      <c r="I38" s="9">
        <f t="shared" si="0"/>
        <v>12000</v>
      </c>
    </row>
    <row r="39" spans="1:10" ht="25.5">
      <c r="A39" s="48" t="s">
        <v>43</v>
      </c>
      <c r="B39" s="21" t="s">
        <v>17</v>
      </c>
      <c r="C39" s="22">
        <v>0.65</v>
      </c>
      <c r="D39" s="24">
        <v>11742.4</v>
      </c>
      <c r="E39" s="23">
        <f>$C$39*$D$39*3</f>
        <v>22897.68</v>
      </c>
      <c r="F39" s="23">
        <f>$C$39*$D$39*3</f>
        <v>22897.68</v>
      </c>
      <c r="G39" s="23">
        <f>$C$39*$D$39*3</f>
        <v>22897.68</v>
      </c>
      <c r="H39" s="23">
        <f>$C$39*$D$39*3</f>
        <v>22897.68</v>
      </c>
      <c r="I39" s="9">
        <f t="shared" si="0"/>
        <v>91590.72</v>
      </c>
      <c r="J39" s="27"/>
    </row>
    <row r="40" spans="1:9" ht="25.5">
      <c r="A40" s="48" t="s">
        <v>44</v>
      </c>
      <c r="B40" s="21" t="s">
        <v>17</v>
      </c>
      <c r="C40" s="22">
        <v>0.55</v>
      </c>
      <c r="D40" s="24">
        <v>11742.4</v>
      </c>
      <c r="E40" s="23">
        <f>$C$40*$D$40*3</f>
        <v>19374.960000000003</v>
      </c>
      <c r="F40" s="23">
        <f>$C$40*$D$40*3</f>
        <v>19374.960000000003</v>
      </c>
      <c r="G40" s="23">
        <f>$C$40*$D$40*3</f>
        <v>19374.960000000003</v>
      </c>
      <c r="H40" s="23">
        <f>$C$40*$D$40*3</f>
        <v>19374.960000000003</v>
      </c>
      <c r="I40" s="9">
        <f t="shared" si="0"/>
        <v>77499.84000000001</v>
      </c>
    </row>
    <row r="41" spans="1:9" ht="12.75">
      <c r="A41" s="20" t="s">
        <v>45</v>
      </c>
      <c r="B41" s="17" t="s">
        <v>18</v>
      </c>
      <c r="C41" s="17">
        <v>100</v>
      </c>
      <c r="D41" s="17">
        <v>5</v>
      </c>
      <c r="E41" s="9">
        <f>$C$41*$D$41*3</f>
        <v>1500</v>
      </c>
      <c r="F41" s="9">
        <f>$C$41*$D$41*3</f>
        <v>1500</v>
      </c>
      <c r="G41" s="9">
        <f>$C$41*$D$41*3</f>
        <v>1500</v>
      </c>
      <c r="H41" s="9">
        <f>$C$41*$D$41*3</f>
        <v>1500</v>
      </c>
      <c r="I41" s="9">
        <f t="shared" si="0"/>
        <v>6000</v>
      </c>
    </row>
    <row r="42" spans="1:9" ht="25.5">
      <c r="A42" s="48" t="s">
        <v>46</v>
      </c>
      <c r="B42" s="17"/>
      <c r="C42" s="17"/>
      <c r="D42" s="17"/>
      <c r="E42" s="23">
        <v>5000</v>
      </c>
      <c r="F42" s="23">
        <v>5000</v>
      </c>
      <c r="G42" s="23">
        <v>5000</v>
      </c>
      <c r="H42" s="23">
        <v>5000</v>
      </c>
      <c r="I42" s="9">
        <f t="shared" si="0"/>
        <v>20000</v>
      </c>
    </row>
    <row r="43" spans="1:9" ht="12.75">
      <c r="A43" s="20" t="s">
        <v>47</v>
      </c>
      <c r="B43" s="28" t="s">
        <v>19</v>
      </c>
      <c r="C43" s="29">
        <v>1</v>
      </c>
      <c r="D43" s="30">
        <v>1615.5</v>
      </c>
      <c r="E43" s="9"/>
      <c r="F43" s="9">
        <f>C43*D43/2</f>
        <v>807.75</v>
      </c>
      <c r="G43" s="9"/>
      <c r="H43" s="9">
        <f>C43/2*D43</f>
        <v>807.75</v>
      </c>
      <c r="I43" s="9">
        <f t="shared" si="0"/>
        <v>1615.5</v>
      </c>
    </row>
    <row r="44" spans="1:9" ht="12.75">
      <c r="A44" s="44" t="s">
        <v>48</v>
      </c>
      <c r="B44" s="28"/>
      <c r="C44" s="29"/>
      <c r="D44" s="30"/>
      <c r="E44" s="9"/>
      <c r="F44" s="9"/>
      <c r="G44" s="9"/>
      <c r="H44" s="9"/>
      <c r="I44" s="9"/>
    </row>
    <row r="45" spans="1:9" ht="25.5">
      <c r="A45" s="20" t="s">
        <v>49</v>
      </c>
      <c r="B45" s="21" t="s">
        <v>17</v>
      </c>
      <c r="C45" s="29">
        <v>0.48</v>
      </c>
      <c r="D45" s="24">
        <v>11742.4</v>
      </c>
      <c r="E45" s="23">
        <f>$C$45*$D$45*3</f>
        <v>16909.056</v>
      </c>
      <c r="F45" s="23">
        <f>$C$45*$D$45*3</f>
        <v>16909.056</v>
      </c>
      <c r="G45" s="23">
        <f>$C$45*$D$45*3</f>
        <v>16909.056</v>
      </c>
      <c r="H45" s="23">
        <f>$C$45*$D$45*3</f>
        <v>16909.056</v>
      </c>
      <c r="I45" s="9">
        <f>SUM(E45:H45)</f>
        <v>67636.224</v>
      </c>
    </row>
    <row r="46" spans="1:9" ht="12.75">
      <c r="A46" s="44" t="s">
        <v>50</v>
      </c>
      <c r="B46" s="28"/>
      <c r="C46" s="29"/>
      <c r="D46" s="30"/>
      <c r="E46" s="9"/>
      <c r="F46" s="9"/>
      <c r="G46" s="9"/>
      <c r="H46" s="9"/>
      <c r="I46" s="9"/>
    </row>
    <row r="47" spans="1:9" ht="12.75">
      <c r="A47" s="20" t="s">
        <v>51</v>
      </c>
      <c r="B47" s="21" t="s">
        <v>18</v>
      </c>
      <c r="C47" s="29">
        <v>4650</v>
      </c>
      <c r="D47" s="30">
        <v>5</v>
      </c>
      <c r="E47" s="23">
        <f>$C$47*$D$47*3</f>
        <v>69750</v>
      </c>
      <c r="F47" s="23">
        <f>$C$47*$D$47*3</f>
        <v>69750</v>
      </c>
      <c r="G47" s="23">
        <f>$C$47*$D$47*3</f>
        <v>69750</v>
      </c>
      <c r="H47" s="23">
        <f>$C$47*$D$47*3</f>
        <v>69750</v>
      </c>
      <c r="I47" s="9">
        <f>SUM(E47:H47)</f>
        <v>279000</v>
      </c>
    </row>
    <row r="48" spans="1:9" ht="12.75">
      <c r="A48" s="44" t="s">
        <v>52</v>
      </c>
      <c r="B48" s="28"/>
      <c r="C48" s="29"/>
      <c r="D48" s="30"/>
      <c r="E48" s="9"/>
      <c r="F48" s="9"/>
      <c r="G48" s="9"/>
      <c r="H48" s="9"/>
      <c r="I48" s="9"/>
    </row>
    <row r="49" spans="1:9" ht="25.5">
      <c r="A49" s="20" t="s">
        <v>53</v>
      </c>
      <c r="B49" s="21" t="s">
        <v>17</v>
      </c>
      <c r="C49" s="29">
        <v>1.62</v>
      </c>
      <c r="D49" s="24">
        <v>11742.4</v>
      </c>
      <c r="E49" s="23">
        <f>$C$49*$D$49*3</f>
        <v>57068.064000000006</v>
      </c>
      <c r="F49" s="23">
        <f>$C$49*$D$49*3</f>
        <v>57068.064000000006</v>
      </c>
      <c r="G49" s="23">
        <f>$C$49*$D$49*3</f>
        <v>57068.064000000006</v>
      </c>
      <c r="H49" s="23">
        <f>$C$49*$D$49*3</f>
        <v>57068.064000000006</v>
      </c>
      <c r="I49" s="9">
        <f>SUM(E49:H49)</f>
        <v>228272.25600000002</v>
      </c>
    </row>
    <row r="50" spans="1:9" ht="12.75">
      <c r="A50" s="45" t="s">
        <v>54</v>
      </c>
      <c r="B50" s="28"/>
      <c r="C50" s="29"/>
      <c r="D50" s="30"/>
      <c r="E50" s="9"/>
      <c r="F50" s="9"/>
      <c r="G50" s="9"/>
      <c r="H50" s="9"/>
      <c r="I50" s="9"/>
    </row>
    <row r="51" spans="1:9" ht="25.5">
      <c r="A51" s="48" t="s">
        <v>57</v>
      </c>
      <c r="B51" s="28"/>
      <c r="C51" s="29"/>
      <c r="D51" s="30"/>
      <c r="E51" s="9">
        <v>13952</v>
      </c>
      <c r="F51" s="9">
        <v>13952</v>
      </c>
      <c r="G51" s="9">
        <v>13952</v>
      </c>
      <c r="H51" s="9">
        <v>13952</v>
      </c>
      <c r="I51" s="9">
        <f>SUM(E51:H51)</f>
        <v>55808</v>
      </c>
    </row>
    <row r="52" spans="1:9" ht="12.75">
      <c r="A52" s="46" t="s">
        <v>55</v>
      </c>
      <c r="B52" s="21" t="s">
        <v>56</v>
      </c>
      <c r="C52" s="49">
        <f>3+0.936768</f>
        <v>3.936768</v>
      </c>
      <c r="D52" s="31">
        <v>204</v>
      </c>
      <c r="E52" s="23">
        <f>$C$52*$D$52*3</f>
        <v>2409.3020159999996</v>
      </c>
      <c r="F52" s="23">
        <f>$C$52*$D$52*3</f>
        <v>2409.3020159999996</v>
      </c>
      <c r="G52" s="23">
        <f>$C$52*$D$52*3</f>
        <v>2409.3020159999996</v>
      </c>
      <c r="H52" s="23">
        <f>$C$52*$D$52*3</f>
        <v>2409.3020159999996</v>
      </c>
      <c r="I52" s="9">
        <f>SUM(E52:H52)</f>
        <v>9637.208063999999</v>
      </c>
    </row>
    <row r="53" spans="1:9" ht="12.75">
      <c r="A53" s="32" t="s">
        <v>20</v>
      </c>
      <c r="B53" s="33"/>
      <c r="C53" s="34"/>
      <c r="D53" s="33"/>
      <c r="E53" s="12">
        <f>SUM(E33:E52)</f>
        <v>273705.758016</v>
      </c>
      <c r="F53" s="12">
        <f>SUM(F33:F52)</f>
        <v>274350.508016</v>
      </c>
      <c r="G53" s="12">
        <f>SUM(G33:G52)</f>
        <v>273542.758016</v>
      </c>
      <c r="H53" s="12">
        <f>SUM(H33:H52)</f>
        <v>274350.508016</v>
      </c>
      <c r="I53" s="12">
        <f>SUM(I33:I52)</f>
        <v>1095949.532064</v>
      </c>
    </row>
    <row r="54" spans="1:9" ht="12.75">
      <c r="A54" s="10" t="s">
        <v>35</v>
      </c>
      <c r="B54" s="6"/>
      <c r="C54" s="35"/>
      <c r="D54" s="6"/>
      <c r="E54" s="36">
        <v>32092</v>
      </c>
      <c r="F54" s="36">
        <v>32092</v>
      </c>
      <c r="G54" s="36">
        <v>32092</v>
      </c>
      <c r="H54" s="36">
        <v>32092</v>
      </c>
      <c r="I54" s="36">
        <f>SUM(E54:H54)</f>
        <v>128368</v>
      </c>
    </row>
    <row r="55" spans="1:9" ht="12.75">
      <c r="A55" s="37" t="s">
        <v>21</v>
      </c>
      <c r="B55" s="6"/>
      <c r="C55" s="35"/>
      <c r="D55" s="6"/>
      <c r="E55" s="38">
        <f>SUM(E53:E54)</f>
        <v>305797.758016</v>
      </c>
      <c r="F55" s="38">
        <f>SUM(F53:F54)</f>
        <v>306442.508016</v>
      </c>
      <c r="G55" s="38">
        <f>SUM(G53:G54)</f>
        <v>305634.758016</v>
      </c>
      <c r="H55" s="38">
        <f>SUM(H53:H54)</f>
        <v>306442.508016</v>
      </c>
      <c r="I55" s="38">
        <f>SUM(I53:I54)</f>
        <v>1224317.532064</v>
      </c>
    </row>
    <row r="56" spans="1:9" ht="12.75">
      <c r="A56" s="39" t="s">
        <v>22</v>
      </c>
      <c r="B56" s="39"/>
      <c r="C56" s="39"/>
      <c r="D56" s="39"/>
      <c r="E56" s="39"/>
      <c r="F56" s="39"/>
      <c r="G56" s="39"/>
      <c r="H56" s="39"/>
      <c r="I56" s="40">
        <f>B24-I53</f>
        <v>0.4319360002409667</v>
      </c>
    </row>
    <row r="58" spans="1:5" ht="12.75">
      <c r="A58" s="41"/>
      <c r="E58" s="11"/>
    </row>
  </sheetData>
  <mergeCells count="9">
    <mergeCell ref="A13:I13"/>
    <mergeCell ref="A14:I14"/>
    <mergeCell ref="A15:I15"/>
    <mergeCell ref="A30:A31"/>
    <mergeCell ref="B30:B31"/>
    <mergeCell ref="C30:C31"/>
    <mergeCell ref="D30:D31"/>
    <mergeCell ref="E30:H30"/>
    <mergeCell ref="I30:I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2010-05-25T04:35:02Z</cp:lastPrinted>
  <dcterms:created xsi:type="dcterms:W3CDTF">1996-10-08T23:32:33Z</dcterms:created>
  <dcterms:modified xsi:type="dcterms:W3CDTF">2010-12-07T05:30:21Z</dcterms:modified>
  <cp:category/>
  <cp:version/>
  <cp:contentType/>
  <cp:contentStatus/>
</cp:coreProperties>
</file>