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отчет по смете" sheetId="8" r:id="rId1"/>
    <sheet name="отчет текущий ремонт" sheetId="5" r:id="rId2"/>
  </sheets>
  <calcPr calcId="125725" refMode="R1C1"/>
</workbook>
</file>

<file path=xl/calcChain.xml><?xml version="1.0" encoding="utf-8"?>
<calcChain xmlns="http://schemas.openxmlformats.org/spreadsheetml/2006/main">
  <c r="F31" i="5"/>
  <c r="E149" i="8" l="1"/>
  <c r="E34"/>
  <c r="E31" i="5" l="1"/>
  <c r="F23" l="1"/>
  <c r="F32" i="8"/>
  <c r="E31"/>
  <c r="G31" s="1"/>
  <c r="G32" s="1"/>
  <c r="F120"/>
  <c r="F147"/>
  <c r="F136"/>
  <c r="F118"/>
  <c r="E32" l="1"/>
  <c r="F105"/>
  <c r="F103"/>
  <c r="E100" l="1"/>
  <c r="F144"/>
  <c r="F106"/>
  <c r="F110"/>
  <c r="F104"/>
  <c r="F102"/>
  <c r="F115"/>
  <c r="F109"/>
  <c r="F117"/>
  <c r="E148"/>
  <c r="F131"/>
  <c r="F125"/>
  <c r="F124" s="1"/>
  <c r="F29" l="1"/>
  <c r="G28"/>
  <c r="F70" l="1"/>
  <c r="F71"/>
  <c r="F72"/>
  <c r="F141"/>
  <c r="F132"/>
  <c r="F140" l="1"/>
  <c r="F51" l="1"/>
  <c r="F64" s="1"/>
  <c r="F128"/>
  <c r="F50"/>
  <c r="F122" l="1"/>
  <c r="F49"/>
  <c r="F48"/>
  <c r="F47"/>
  <c r="F113"/>
  <c r="F108"/>
  <c r="F107"/>
  <c r="F114"/>
  <c r="F112"/>
  <c r="F46"/>
  <c r="F45"/>
  <c r="F44"/>
  <c r="F43"/>
  <c r="F42"/>
  <c r="F41"/>
  <c r="F40"/>
  <c r="F101"/>
  <c r="F135"/>
  <c r="F134" s="1"/>
  <c r="E134"/>
  <c r="F143"/>
  <c r="F139"/>
  <c r="F138"/>
  <c r="F100" l="1"/>
  <c r="F137"/>
  <c r="G137" s="1"/>
  <c r="E136"/>
  <c r="G136" s="1"/>
  <c r="G134"/>
  <c r="E133"/>
  <c r="G133" s="1"/>
  <c r="E132"/>
  <c r="G132" s="1"/>
  <c r="E131"/>
  <c r="G131" l="1"/>
  <c r="E21" i="5"/>
  <c r="E23" s="1"/>
  <c r="G21" l="1"/>
  <c r="F148" i="8"/>
  <c r="G148" l="1"/>
  <c r="G128"/>
  <c r="E127"/>
  <c r="G127" s="1"/>
  <c r="F116" l="1"/>
  <c r="G153" l="1"/>
  <c r="E25"/>
  <c r="E29" s="1"/>
  <c r="E138"/>
  <c r="F56"/>
  <c r="F57"/>
  <c r="F58"/>
  <c r="F59"/>
  <c r="F60"/>
  <c r="F61"/>
  <c r="F62"/>
  <c r="F63"/>
  <c r="F54"/>
  <c r="F55"/>
  <c r="F53"/>
  <c r="E130" l="1"/>
  <c r="G130" s="1"/>
  <c r="E129"/>
  <c r="G129" s="1"/>
  <c r="E124"/>
  <c r="E122"/>
  <c r="E116"/>
  <c r="G116" s="1"/>
  <c r="G100"/>
  <c r="E99"/>
  <c r="E98"/>
  <c r="E97"/>
  <c r="E96"/>
  <c r="E95"/>
  <c r="E94"/>
  <c r="E93"/>
  <c r="E92"/>
  <c r="E91"/>
  <c r="E90"/>
  <c r="E89"/>
  <c r="E88"/>
  <c r="F87"/>
  <c r="E87"/>
  <c r="F74"/>
  <c r="E74"/>
  <c r="F69"/>
  <c r="E69"/>
  <c r="F65"/>
  <c r="E65"/>
  <c r="F52"/>
  <c r="F39"/>
  <c r="E39"/>
  <c r="F35"/>
  <c r="E35"/>
  <c r="G34"/>
  <c r="G27"/>
  <c r="G26"/>
  <c r="G25"/>
  <c r="G29" l="1"/>
  <c r="F155"/>
  <c r="G52"/>
  <c r="E155"/>
  <c r="G65"/>
  <c r="E36"/>
  <c r="G74"/>
  <c r="G69"/>
  <c r="G87"/>
  <c r="G122"/>
  <c r="G39"/>
  <c r="G124"/>
  <c r="F36"/>
  <c r="G35"/>
  <c r="G155" l="1"/>
  <c r="G36"/>
  <c r="G31" i="5" l="1"/>
</calcChain>
</file>

<file path=xl/sharedStrings.xml><?xml version="1.0" encoding="utf-8"?>
<sst xmlns="http://schemas.openxmlformats.org/spreadsheetml/2006/main" count="182" uniqueCount="143">
  <si>
    <t>№ п./п.</t>
  </si>
  <si>
    <t>Наименование статей</t>
  </si>
  <si>
    <t xml:space="preserve">ДОХОДНАЯ ЧАСТЬ: </t>
  </si>
  <si>
    <t>1.1.</t>
  </si>
  <si>
    <t>1.2.</t>
  </si>
  <si>
    <t>1.3.</t>
  </si>
  <si>
    <t>1.4.</t>
  </si>
  <si>
    <t>1.5.</t>
  </si>
  <si>
    <t>Итого по доходам</t>
  </si>
  <si>
    <t>РАСХОДНАЯ ЧАСТЬ:</t>
  </si>
  <si>
    <t>Итого по расходам</t>
  </si>
  <si>
    <t xml:space="preserve">Председатель правления </t>
  </si>
  <si>
    <t>Главный бухгалтер</t>
  </si>
  <si>
    <t>Д.И. Вебер</t>
  </si>
  <si>
    <t>1.6.</t>
  </si>
  <si>
    <t>Размер, руб.</t>
  </si>
  <si>
    <t>ИТОГО</t>
  </si>
  <si>
    <t>Кратность</t>
  </si>
  <si>
    <t>Исполнение плана, руб.</t>
  </si>
  <si>
    <t>ОТЧЕТ</t>
  </si>
  <si>
    <t>Товарищество собственников жилья «Советская, 69»</t>
  </si>
  <si>
    <t>УТВЕРЖДЕНО</t>
  </si>
  <si>
    <t>Советская ул., д. 69, г. Томск, 634041, тел. 8-962-787-50-10, http://sovetskaya69.vc.tom.ru, e-mail: sovtom69@mail.ru</t>
  </si>
  <si>
    <t>о выполнении сметы доходов и расходов по текущему ремонту</t>
  </si>
  <si>
    <t xml:space="preserve">Текущий ремонт </t>
  </si>
  <si>
    <t xml:space="preserve">1.1. </t>
  </si>
  <si>
    <t>Т.В. Денисова</t>
  </si>
  <si>
    <t>Оплачено жильцами, руб.</t>
  </si>
  <si>
    <t>Задолженность жильцов, руб.</t>
  </si>
  <si>
    <t>Отклонение от плана ("-" перерасход средств, "+" остаток средств), руб.</t>
  </si>
  <si>
    <t>о выполнении сметы доходов и расходов</t>
  </si>
  <si>
    <t>1.</t>
  </si>
  <si>
    <t xml:space="preserve"> Использование общего имущества </t>
  </si>
  <si>
    <t>ООО «НТС»</t>
  </si>
  <si>
    <t>ООО «ИКА»</t>
  </si>
  <si>
    <t>Фонд содержания жилья</t>
  </si>
  <si>
    <t>2.1.</t>
  </si>
  <si>
    <t>Прочие доходы</t>
  </si>
  <si>
    <t>3.1.</t>
  </si>
  <si>
    <t>предъявлено жильцам</t>
  </si>
  <si>
    <t xml:space="preserve">Заработная плата </t>
  </si>
  <si>
    <t>Исполнение обязанностей сотрудников на период отпусков</t>
  </si>
  <si>
    <t>Окунев</t>
  </si>
  <si>
    <t>окунев</t>
  </si>
  <si>
    <t>Михеев</t>
  </si>
  <si>
    <t>михеев</t>
  </si>
  <si>
    <t>Обслуживание приборов учета тепла и автоматики</t>
  </si>
  <si>
    <t>Банковские услуги</t>
  </si>
  <si>
    <t>Приобретение хозяйственного инвентаря, расходных материалов</t>
  </si>
  <si>
    <t>канцтовары</t>
  </si>
  <si>
    <t xml:space="preserve">конверт почтовый </t>
  </si>
  <si>
    <t>услуги печати/полиграфические услуги</t>
  </si>
  <si>
    <t>заправка картриджа</t>
  </si>
  <si>
    <t>Уборка и вывоз снега</t>
  </si>
  <si>
    <t>Очистка крыши от снега</t>
  </si>
  <si>
    <t>Обучение сантехника/электрика</t>
  </si>
  <si>
    <t>Получение ЭЦП для банка и для председателя правления</t>
  </si>
  <si>
    <t>за счет доходов</t>
  </si>
  <si>
    <t>поступления прочих доходов</t>
  </si>
  <si>
    <t xml:space="preserve">услуги юриста </t>
  </si>
  <si>
    <t>налог на доходы УСН</t>
  </si>
  <si>
    <t>СМЕТА</t>
  </si>
  <si>
    <t>Отчисления с з/пл (22%-ПФР; 2,9%-ФСС; 5,1%-ФФОМС; 0,2%-ФСС НС)</t>
  </si>
  <si>
    <t>отчисления в фонды (22%-ПФР; 5,1%-ФФОМС)</t>
  </si>
  <si>
    <t>Непредвиденные расходы (с правом распоряжения правлением ТСЖ)</t>
  </si>
  <si>
    <t>Окунев (включая страховые взносы) Контроль протечек талых вод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</si>
  <si>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</si>
  <si>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</si>
  <si>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</si>
  <si>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</si>
  <si>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</si>
  <si>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</si>
  <si>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</si>
  <si>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</si>
  <si>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1.16.</t>
  </si>
  <si>
    <t>ООО «Эр Телеком Холдинг</t>
  </si>
  <si>
    <t>Пени за несвоевременную оплату, возмещение судебных издержек</t>
  </si>
  <si>
    <t>Отклонение от плана, руб. ("-" переплата, "+" задолженность)</t>
  </si>
  <si>
    <t>Сброс снега с крыши (ИП Черкашин)</t>
  </si>
  <si>
    <t>Сброс снега с крыши (Стройальп)</t>
  </si>
  <si>
    <t>сотовая связь</t>
  </si>
  <si>
    <t xml:space="preserve">Средства чистящие, моющие </t>
  </si>
  <si>
    <t>Пакет майка</t>
  </si>
  <si>
    <t>Сантехнические материалы</t>
  </si>
  <si>
    <t>Хозтовары (т.бумага, мешки для мусора, замки , гвозди, батарейки и пр.)</t>
  </si>
  <si>
    <t>Инвентарь для уборки подъездов, территории, облуживание дома (веники, швабры, тряпки, лопаты, перчатки, салфетки, губки)</t>
  </si>
  <si>
    <t>Электротовары (лампы, розетки, коробки установочные, светильники, выключатели)</t>
  </si>
  <si>
    <t>Строительные материалы (ремонт фасада, укладка бордюров, плитки: цемент, плитка, бордюр и т.п.)</t>
  </si>
  <si>
    <t xml:space="preserve">Строительные материалы (мелкий  текущий ремонт в подъездах: растворитель, краска моющая, пена монтажная, клей и т.п. ) </t>
  </si>
  <si>
    <t>Ремонт температурных швов (Стройальп)</t>
  </si>
  <si>
    <t>ИП Халин</t>
  </si>
  <si>
    <t>Канцелярские и почтовые расходы, услуги связи, печати</t>
  </si>
  <si>
    <t xml:space="preserve">Ремонт гаражных ворот </t>
  </si>
  <si>
    <t>Доставка товаров</t>
  </si>
  <si>
    <t>Взнос собственников помещений (13 493,40 кв.м)</t>
  </si>
  <si>
    <t>ТСЖ «Советская, 69» за 2021 год</t>
  </si>
  <si>
    <t>на 01.01.2021 на резервном счете ТСЖ - 1 154 412,50 руб.</t>
  </si>
  <si>
    <t>План на 2021, руб.</t>
  </si>
  <si>
    <t>Взнос собственников помещений (13493,40 кв.м)</t>
  </si>
  <si>
    <t>Окунев ПВ</t>
  </si>
  <si>
    <t>Аварийное обслуживание
жилого дома (с учетом
страховых отчислений
27,1%)</t>
  </si>
  <si>
    <t>Обслуживание программы 1С Предприятие</t>
  </si>
  <si>
    <t>1.15.</t>
  </si>
  <si>
    <t>Услуги паспортного стола</t>
  </si>
  <si>
    <t>Уборка паркинга</t>
  </si>
  <si>
    <t>1.17.</t>
  </si>
  <si>
    <t>Актуализация реестра собственников</t>
  </si>
  <si>
    <t>1.18.</t>
  </si>
  <si>
    <t>Благоустройство территории</t>
  </si>
  <si>
    <t>1.19.</t>
  </si>
  <si>
    <t>ГИС ЖКХ (ЭЦП,
наполнение)</t>
  </si>
  <si>
    <t>1.20.</t>
  </si>
  <si>
    <t>Благоустройство территории: семена растений, грунт, шланг поливочный</t>
  </si>
  <si>
    <t>Проведение спецоценки условий труда</t>
  </si>
  <si>
    <t>Поддубная (включая страховые взносы) Работы по уборке полов мест общего общесго пользования, коридоров, площадок</t>
  </si>
  <si>
    <t>Михеев (включая страховые взносы) Работы по вырезке из трубопроводов для определения коррозийного износа металла (с проведением электросварочных работ) в системе отопления</t>
  </si>
  <si>
    <t>Подготовка к отопительному сезону</t>
  </si>
  <si>
    <t xml:space="preserve">Строительные материалы (благоустройство  детской площадки: эмаль, кисть) </t>
  </si>
  <si>
    <t xml:space="preserve">Строительные материалы (ремонт входных дверей и изготовление тамбурных дверей: труба, лист г/к) </t>
  </si>
  <si>
    <t xml:space="preserve">Строительные материалы (ремонт ступеней 2 подъезда: круг отрезной, уголки, труба) </t>
  </si>
  <si>
    <t xml:space="preserve">Строительные материалы (утепление вентиляционных шахт: пеноплекс) </t>
  </si>
  <si>
    <t xml:space="preserve">Строительные материалы (ремонт козырька над 3 подъездом: профнастил) </t>
  </si>
  <si>
    <t>Поддубная</t>
  </si>
  <si>
    <t>поддубная</t>
  </si>
  <si>
    <t>Окунев (включая страховые взносы) Ремонт фасада многоквартирного дома</t>
  </si>
  <si>
    <t>Швайбович С.В.</t>
  </si>
  <si>
    <t xml:space="preserve">Строительные материалы (монтаж ограждения: цепь, цемент, краска) </t>
  </si>
  <si>
    <t xml:space="preserve">Строительные материалы (утепление входных дверей: уплотнитель) </t>
  </si>
  <si>
    <t>пени ТомскРТС</t>
  </si>
  <si>
    <t>госпошлина в суд</t>
  </si>
  <si>
    <t>на 01.01.2022 на резервном счете ТСЖ - 1 154 412,50 руб.</t>
  </si>
  <si>
    <t>Начисление 2021, руб.</t>
  </si>
  <si>
    <t xml:space="preserve">ТСЖ «Советская, 69» за 2021 год   </t>
  </si>
  <si>
    <t>Ремонт 2-го подъезда</t>
  </si>
  <si>
    <t>Ремонт 3-го подъезда</t>
  </si>
  <si>
    <t xml:space="preserve"> руб.</t>
  </si>
  <si>
    <t xml:space="preserve">на 01.01.2021 в фонде ТСЖ по текущему ремонту - </t>
  </si>
  <si>
    <t>Экономия средств по основной смете за 2020 г.</t>
  </si>
  <si>
    <t xml:space="preserve">на 01.01.2022 в фонде ТСЖ по текущему ремонту - </t>
  </si>
  <si>
    <t>Ремонт тамбурных дверей в подъездах</t>
  </si>
  <si>
    <t>Приложение №1
к  Протоколу общего собрания членов ТСЖ в многоквартирном доме, расположенном по адресу: г Томск, ул Советская, д 69</t>
  </si>
  <si>
    <t>от 24.06. 2022 года</t>
  </si>
  <si>
    <t>Приложение №2
к  Протоколу общего собрания членов ТСЖ в многоквартирном доме, расположенном по адресу: г Томск, ул Советская, д 69 24.06.2022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</si>
</sst>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161">
    <xf numFmtId="0" fontId="0" fillId="0" borderId="0" xfId="0"/>
    <xf numFmtId="0" fontId="4" fillId="0" borderId="0" xfId="0" applyFont="1" applyAlignment="1">
      <alignment horizontal="justify" vertical="center"/>
    </xf>
    <xf numFmtId="0" fontId="10" fillId="0" borderId="0" xfId="0" applyFont="1" applyFill="1" applyBorder="1" applyAlignment="1">
      <alignment vertical="center" wrapText="1"/>
    </xf>
    <xf numFmtId="4" fontId="0" fillId="0" borderId="0" xfId="0" applyNumberFormat="1"/>
    <xf numFmtId="0" fontId="0" fillId="0" borderId="0" xfId="0" applyFill="1"/>
    <xf numFmtId="0" fontId="5" fillId="0" borderId="0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/>
    </xf>
    <xf numFmtId="4" fontId="0" fillId="0" borderId="0" xfId="0" applyNumberFormat="1" applyFill="1"/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Fill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4" fontId="0" fillId="0" borderId="0" xfId="0" applyNumberFormat="1" applyFill="1" applyAlignment="1"/>
    <xf numFmtId="4" fontId="11" fillId="0" borderId="0" xfId="0" applyNumberFormat="1" applyFont="1" applyFill="1" applyAlignment="1"/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16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4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/>
    </xf>
    <xf numFmtId="4" fontId="17" fillId="0" borderId="2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43" fontId="0" fillId="0" borderId="0" xfId="1" applyNumberFormat="1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9" fontId="5" fillId="0" borderId="2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/>
    </xf>
    <xf numFmtId="4" fontId="1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" fontId="5" fillId="0" borderId="3" xfId="0" applyNumberFormat="1" applyFont="1" applyFill="1" applyBorder="1" applyAlignment="1">
      <alignment vertical="center" wrapText="1"/>
    </xf>
    <xf numFmtId="17" fontId="5" fillId="0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center" wrapText="1"/>
    </xf>
    <xf numFmtId="4" fontId="6" fillId="0" borderId="3" xfId="0" applyNumberFormat="1" applyFont="1" applyFill="1" applyBorder="1" applyAlignment="1">
      <alignment vertical="center" wrapText="1"/>
    </xf>
    <xf numFmtId="17" fontId="5" fillId="0" borderId="1" xfId="0" applyNumberFormat="1" applyFont="1" applyFill="1" applyBorder="1" applyAlignment="1">
      <alignment horizontal="center" vertical="center" wrapText="1"/>
    </xf>
    <xf numFmtId="17" fontId="5" fillId="0" borderId="1" xfId="0" applyNumberFormat="1" applyFont="1" applyFill="1" applyBorder="1" applyAlignment="1">
      <alignment vertical="center" wrapText="1"/>
    </xf>
    <xf numFmtId="16" fontId="6" fillId="0" borderId="1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17" fontId="6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wrapText="1"/>
    </xf>
    <xf numFmtId="2" fontId="0" fillId="0" borderId="0" xfId="0" applyNumberFormat="1" applyFill="1" applyAlignment="1">
      <alignment wrapText="1"/>
    </xf>
    <xf numFmtId="0" fontId="5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14" fillId="0" borderId="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14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6"/>
  <sheetViews>
    <sheetView workbookViewId="0">
      <selection activeCell="F10" sqref="F10"/>
    </sheetView>
  </sheetViews>
  <sheetFormatPr defaultRowHeight="15"/>
  <cols>
    <col min="1" max="1" width="7.28515625" customWidth="1"/>
    <col min="2" max="2" width="26.85546875" customWidth="1"/>
    <col min="3" max="3" width="12.7109375" style="16" customWidth="1"/>
    <col min="4" max="4" width="13.42578125" style="14" customWidth="1"/>
    <col min="5" max="5" width="15.140625" customWidth="1"/>
    <col min="6" max="6" width="19.42578125" customWidth="1"/>
    <col min="7" max="7" width="20.5703125" customWidth="1"/>
    <col min="8" max="8" width="23.140625" customWidth="1"/>
    <col min="9" max="9" width="21.7109375" customWidth="1"/>
    <col min="10" max="10" width="22.85546875" customWidth="1"/>
    <col min="11" max="11" width="12.42578125" customWidth="1"/>
  </cols>
  <sheetData>
    <row r="1" spans="1:7" ht="18.75">
      <c r="A1" s="144" t="s">
        <v>20</v>
      </c>
      <c r="B1" s="144"/>
      <c r="C1" s="144"/>
      <c r="D1" s="144"/>
      <c r="E1" s="144"/>
      <c r="F1" s="144"/>
      <c r="G1" s="144"/>
    </row>
    <row r="2" spans="1:7">
      <c r="A2" s="145" t="s">
        <v>22</v>
      </c>
      <c r="B2" s="145"/>
      <c r="C2" s="145"/>
      <c r="D2" s="145"/>
      <c r="E2" s="145"/>
      <c r="F2" s="145"/>
      <c r="G2" s="145"/>
    </row>
    <row r="4" spans="1:7" ht="15.75">
      <c r="F4" s="146" t="s">
        <v>21</v>
      </c>
      <c r="G4" s="146"/>
    </row>
    <row r="5" spans="1:7" ht="15.75" customHeight="1">
      <c r="C5" s="140" t="s">
        <v>140</v>
      </c>
      <c r="D5" s="141"/>
      <c r="E5" s="141"/>
      <c r="F5" s="141"/>
      <c r="G5" s="141"/>
    </row>
    <row r="6" spans="1:7" ht="15.75" customHeight="1">
      <c r="C6" s="140"/>
      <c r="D6" s="141"/>
      <c r="E6" s="141"/>
      <c r="F6" s="141"/>
      <c r="G6" s="141"/>
    </row>
    <row r="7" spans="1:7">
      <c r="C7" s="141"/>
      <c r="D7" s="141"/>
      <c r="E7" s="141"/>
      <c r="F7" s="141"/>
      <c r="G7" s="141"/>
    </row>
    <row r="8" spans="1:7">
      <c r="C8" s="141"/>
      <c r="D8" s="141"/>
      <c r="E8" s="141"/>
      <c r="F8" s="141"/>
      <c r="G8" s="141"/>
    </row>
    <row r="9" spans="1:7" ht="15.75">
      <c r="F9" s="146" t="s">
        <v>141</v>
      </c>
      <c r="G9" s="146"/>
    </row>
    <row r="11" spans="1:7" ht="15.75">
      <c r="A11" s="148" t="s">
        <v>19</v>
      </c>
      <c r="B11" s="148"/>
      <c r="C11" s="148"/>
      <c r="D11" s="148"/>
      <c r="E11" s="148"/>
      <c r="F11" s="148"/>
      <c r="G11" s="148"/>
    </row>
    <row r="12" spans="1:7" ht="15.75">
      <c r="A12" s="149" t="s">
        <v>30</v>
      </c>
      <c r="B12" s="149"/>
      <c r="C12" s="149"/>
      <c r="D12" s="149"/>
      <c r="E12" s="149"/>
      <c r="F12" s="149"/>
      <c r="G12" s="149"/>
    </row>
    <row r="13" spans="1:7" ht="15.75">
      <c r="A13" s="149" t="s">
        <v>95</v>
      </c>
      <c r="B13" s="149"/>
      <c r="C13" s="149"/>
      <c r="D13" s="149"/>
      <c r="E13" s="149"/>
      <c r="F13" s="149"/>
      <c r="G13" s="149"/>
    </row>
    <row r="14" spans="1:7" ht="15.75">
      <c r="A14" s="58"/>
      <c r="B14" s="58"/>
      <c r="C14" s="58"/>
      <c r="D14" s="58"/>
      <c r="E14" s="58"/>
      <c r="F14" s="58"/>
      <c r="G14" s="58"/>
    </row>
    <row r="15" spans="1:7" ht="15.75">
      <c r="A15" s="147"/>
      <c r="B15" s="147"/>
      <c r="C15" s="147"/>
      <c r="D15" s="147"/>
      <c r="E15" s="147"/>
      <c r="F15" s="147"/>
      <c r="G15" s="147"/>
    </row>
    <row r="16" spans="1:7" ht="15.75">
      <c r="A16" s="147" t="s">
        <v>96</v>
      </c>
      <c r="B16" s="147"/>
      <c r="C16" s="147"/>
      <c r="D16" s="147"/>
      <c r="E16" s="4"/>
      <c r="F16" s="4"/>
      <c r="G16" s="4"/>
    </row>
    <row r="17" spans="1:9" ht="15.75">
      <c r="A17" s="147" t="s">
        <v>130</v>
      </c>
      <c r="B17" s="147"/>
      <c r="C17" s="147"/>
      <c r="D17" s="147"/>
      <c r="E17" s="5"/>
      <c r="F17" s="5"/>
      <c r="G17" s="5"/>
    </row>
    <row r="18" spans="1:9" ht="15" customHeight="1">
      <c r="A18" s="5"/>
      <c r="B18" s="5"/>
      <c r="C18" s="18"/>
      <c r="D18" s="5"/>
      <c r="E18" s="5"/>
      <c r="F18" s="5"/>
      <c r="G18" s="5"/>
    </row>
    <row r="19" spans="1:9" ht="10.9" customHeight="1">
      <c r="A19" s="5"/>
      <c r="B19" s="5"/>
      <c r="C19" s="18"/>
      <c r="D19" s="5"/>
      <c r="E19" s="5"/>
      <c r="F19" s="5"/>
      <c r="G19" s="5"/>
    </row>
    <row r="20" spans="1:9" ht="21.75" customHeight="1">
      <c r="A20" s="150" t="s">
        <v>61</v>
      </c>
      <c r="B20" s="151"/>
      <c r="C20" s="151"/>
      <c r="D20" s="151"/>
      <c r="E20" s="151"/>
      <c r="F20" s="151"/>
      <c r="G20" s="152"/>
    </row>
    <row r="21" spans="1:9" ht="24.75" customHeight="1">
      <c r="A21" s="142" t="s">
        <v>2</v>
      </c>
      <c r="B21" s="143"/>
      <c r="C21" s="143"/>
      <c r="D21" s="143"/>
      <c r="E21" s="143"/>
      <c r="F21" s="143"/>
      <c r="G21" s="143"/>
    </row>
    <row r="22" spans="1:9" ht="30" customHeight="1">
      <c r="A22" s="124" t="s">
        <v>0</v>
      </c>
      <c r="B22" s="124" t="s">
        <v>1</v>
      </c>
      <c r="C22" s="131" t="s">
        <v>15</v>
      </c>
      <c r="D22" s="125" t="s">
        <v>17</v>
      </c>
      <c r="E22" s="124" t="s">
        <v>97</v>
      </c>
      <c r="F22" s="124" t="s">
        <v>18</v>
      </c>
      <c r="G22" s="125" t="s">
        <v>77</v>
      </c>
    </row>
    <row r="23" spans="1:9" ht="29.25" customHeight="1">
      <c r="A23" s="124"/>
      <c r="B23" s="124"/>
      <c r="C23" s="132"/>
      <c r="D23" s="126"/>
      <c r="E23" s="124"/>
      <c r="F23" s="124"/>
      <c r="G23" s="126"/>
    </row>
    <row r="24" spans="1:9" s="4" customFormat="1" ht="15.75" customHeight="1">
      <c r="A24" s="78" t="s">
        <v>31</v>
      </c>
      <c r="B24" s="121" t="s">
        <v>32</v>
      </c>
      <c r="C24" s="122"/>
      <c r="D24" s="122"/>
      <c r="E24" s="122"/>
      <c r="F24" s="122"/>
      <c r="G24" s="123"/>
    </row>
    <row r="25" spans="1:9" s="4" customFormat="1">
      <c r="A25" s="51" t="s">
        <v>3</v>
      </c>
      <c r="B25" s="48" t="s">
        <v>75</v>
      </c>
      <c r="C25" s="78">
        <v>500</v>
      </c>
      <c r="D25" s="78">
        <v>12</v>
      </c>
      <c r="E25" s="6">
        <f>C25*D25</f>
        <v>6000</v>
      </c>
      <c r="F25" s="61">
        <v>6000</v>
      </c>
      <c r="G25" s="61">
        <f>E25-F25</f>
        <v>0</v>
      </c>
      <c r="H25" s="107"/>
    </row>
    <row r="26" spans="1:9" s="4" customFormat="1">
      <c r="A26" s="51" t="s">
        <v>4</v>
      </c>
      <c r="B26" s="48" t="s">
        <v>33</v>
      </c>
      <c r="C26" s="78">
        <v>750</v>
      </c>
      <c r="D26" s="78">
        <v>12</v>
      </c>
      <c r="E26" s="6">
        <v>9000</v>
      </c>
      <c r="F26" s="61">
        <v>8250</v>
      </c>
      <c r="G26" s="61">
        <f t="shared" ref="G26:G27" si="0">E26-F26</f>
        <v>750</v>
      </c>
      <c r="H26" s="107"/>
    </row>
    <row r="27" spans="1:9" s="4" customFormat="1">
      <c r="A27" s="51" t="s">
        <v>5</v>
      </c>
      <c r="B27" s="48" t="s">
        <v>34</v>
      </c>
      <c r="C27" s="78">
        <v>500</v>
      </c>
      <c r="D27" s="78">
        <v>12</v>
      </c>
      <c r="E27" s="6">
        <v>6000</v>
      </c>
      <c r="F27" s="61">
        <v>6000</v>
      </c>
      <c r="G27" s="61">
        <f t="shared" si="0"/>
        <v>0</v>
      </c>
      <c r="H27" s="108"/>
    </row>
    <row r="28" spans="1:9" s="4" customFormat="1">
      <c r="A28" s="109" t="s">
        <v>6</v>
      </c>
      <c r="B28" s="48" t="s">
        <v>125</v>
      </c>
      <c r="C28" s="78"/>
      <c r="D28" s="78"/>
      <c r="E28" s="6">
        <v>26747.16</v>
      </c>
      <c r="F28" s="61">
        <v>14850.14</v>
      </c>
      <c r="G28" s="61">
        <f t="shared" ref="G28" si="1">E28-F28</f>
        <v>11897.02</v>
      </c>
      <c r="H28" s="108"/>
    </row>
    <row r="29" spans="1:9" s="4" customFormat="1">
      <c r="A29" s="127" t="s">
        <v>16</v>
      </c>
      <c r="B29" s="128"/>
      <c r="C29" s="128"/>
      <c r="D29" s="128"/>
      <c r="E29" s="50">
        <f>SUM(E25:E28)</f>
        <v>47747.16</v>
      </c>
      <c r="F29" s="50">
        <f t="shared" ref="F29:G29" si="2">SUM(F25:F28)</f>
        <v>35100.14</v>
      </c>
      <c r="G29" s="50">
        <f t="shared" si="2"/>
        <v>12647.02</v>
      </c>
    </row>
    <row r="30" spans="1:9" s="4" customFormat="1" ht="15.75">
      <c r="A30" s="51">
        <v>2</v>
      </c>
      <c r="B30" s="129" t="s">
        <v>35</v>
      </c>
      <c r="C30" s="129"/>
      <c r="D30" s="129"/>
      <c r="E30" s="130"/>
      <c r="F30" s="130"/>
      <c r="G30" s="130"/>
      <c r="H30" s="111"/>
    </row>
    <row r="31" spans="1:9" s="4" customFormat="1" ht="30">
      <c r="A31" s="28" t="s">
        <v>36</v>
      </c>
      <c r="B31" s="48" t="s">
        <v>98</v>
      </c>
      <c r="C31" s="79">
        <v>15</v>
      </c>
      <c r="D31" s="79">
        <v>12</v>
      </c>
      <c r="E31" s="49">
        <f>C31*D31*13493.4-268.26</f>
        <v>2428543.7400000002</v>
      </c>
      <c r="F31" s="6">
        <v>2363317.2000000002</v>
      </c>
      <c r="G31" s="45">
        <f>E31-F31</f>
        <v>65226.540000000037</v>
      </c>
      <c r="H31" s="111"/>
      <c r="I31" s="8"/>
    </row>
    <row r="32" spans="1:9" s="4" customFormat="1">
      <c r="A32" s="127" t="s">
        <v>16</v>
      </c>
      <c r="B32" s="128"/>
      <c r="C32" s="128"/>
      <c r="D32" s="128"/>
      <c r="E32" s="50">
        <f>SUM(E31:E31)</f>
        <v>2428543.7400000002</v>
      </c>
      <c r="F32" s="50">
        <f>SUM(F31:F31)</f>
        <v>2363317.2000000002</v>
      </c>
      <c r="G32" s="50">
        <f>SUM(G31:G31)</f>
        <v>65226.540000000037</v>
      </c>
      <c r="I32" s="8"/>
    </row>
    <row r="33" spans="1:11" s="4" customFormat="1" ht="15.75">
      <c r="A33" s="112">
        <v>3</v>
      </c>
      <c r="B33" s="121" t="s">
        <v>37</v>
      </c>
      <c r="C33" s="122"/>
      <c r="D33" s="122"/>
      <c r="E33" s="122"/>
      <c r="F33" s="122"/>
      <c r="G33" s="123"/>
    </row>
    <row r="34" spans="1:11" s="4" customFormat="1" ht="45">
      <c r="A34" s="28" t="s">
        <v>38</v>
      </c>
      <c r="B34" s="48" t="s">
        <v>76</v>
      </c>
      <c r="C34" s="48"/>
      <c r="D34" s="78" t="s">
        <v>39</v>
      </c>
      <c r="E34" s="6">
        <f>45047.93-1.09+12975.27</f>
        <v>58022.11</v>
      </c>
      <c r="F34" s="6">
        <v>35800.31</v>
      </c>
      <c r="G34" s="45">
        <f t="shared" ref="G34" si="3">E34-F34</f>
        <v>22221.800000000003</v>
      </c>
      <c r="H34" s="8"/>
      <c r="I34" s="8"/>
      <c r="J34" s="8"/>
    </row>
    <row r="35" spans="1:11" s="4" customFormat="1" ht="28.5" customHeight="1">
      <c r="A35" s="127" t="s">
        <v>16</v>
      </c>
      <c r="B35" s="128"/>
      <c r="C35" s="128"/>
      <c r="D35" s="128"/>
      <c r="E35" s="50">
        <f>SUM(E34:E34)</f>
        <v>58022.11</v>
      </c>
      <c r="F35" s="50">
        <f>SUM(F34:F34)</f>
        <v>35800.31</v>
      </c>
      <c r="G35" s="50">
        <f>SUM(G34:G34)</f>
        <v>22221.800000000003</v>
      </c>
      <c r="I35" s="8"/>
      <c r="J35" s="8"/>
    </row>
    <row r="36" spans="1:11" s="4" customFormat="1" ht="20.25" customHeight="1">
      <c r="A36" s="51"/>
      <c r="B36" s="52" t="s">
        <v>8</v>
      </c>
      <c r="C36" s="52"/>
      <c r="D36" s="47"/>
      <c r="E36" s="46">
        <f>E29+E32+E35</f>
        <v>2534313.0100000002</v>
      </c>
      <c r="F36" s="46">
        <f>F29+F32+F35</f>
        <v>2434217.6500000004</v>
      </c>
      <c r="G36" s="46">
        <f>G29+G32+G35</f>
        <v>100095.36000000004</v>
      </c>
      <c r="H36" s="8"/>
      <c r="J36" s="8"/>
      <c r="K36" s="8"/>
    </row>
    <row r="37" spans="1:11" s="4" customFormat="1">
      <c r="A37" s="11"/>
      <c r="B37" s="12"/>
      <c r="C37" s="19"/>
      <c r="D37" s="12"/>
      <c r="E37" s="12"/>
      <c r="F37" s="12"/>
      <c r="G37" s="12"/>
    </row>
    <row r="38" spans="1:11" s="4" customFormat="1" ht="26.25" customHeight="1">
      <c r="A38" s="133" t="s">
        <v>9</v>
      </c>
      <c r="B38" s="134"/>
      <c r="C38" s="134"/>
      <c r="D38" s="134"/>
      <c r="E38" s="134"/>
      <c r="F38" s="134"/>
      <c r="G38" s="135"/>
    </row>
    <row r="39" spans="1:11" s="4" customFormat="1" ht="31.5" customHeight="1">
      <c r="A39" s="88" t="s">
        <v>3</v>
      </c>
      <c r="B39" s="89" t="s">
        <v>40</v>
      </c>
      <c r="C39" s="90">
        <v>101990.93</v>
      </c>
      <c r="D39" s="91">
        <v>12</v>
      </c>
      <c r="E39" s="92">
        <f>C39*D39</f>
        <v>1223891.1599999999</v>
      </c>
      <c r="F39" s="93">
        <f>SUM(F40:F51)</f>
        <v>1228627.5900000001</v>
      </c>
      <c r="G39" s="87">
        <f>E39-F39</f>
        <v>-4736.4300000001676</v>
      </c>
      <c r="I39" s="8"/>
    </row>
    <row r="40" spans="1:11">
      <c r="A40" s="94"/>
      <c r="B40" s="95">
        <v>44197</v>
      </c>
      <c r="C40" s="96"/>
      <c r="D40" s="96"/>
      <c r="E40" s="97"/>
      <c r="F40" s="98">
        <f>115514.94-13524-575</f>
        <v>101415.94</v>
      </c>
      <c r="G40" s="87"/>
      <c r="H40" s="13"/>
    </row>
    <row r="41" spans="1:11">
      <c r="A41" s="94"/>
      <c r="B41" s="95">
        <v>44228</v>
      </c>
      <c r="C41" s="96"/>
      <c r="D41" s="96"/>
      <c r="E41" s="97"/>
      <c r="F41" s="98">
        <f>120633.62-575</f>
        <v>120058.62</v>
      </c>
      <c r="G41" s="87"/>
      <c r="H41" s="13"/>
      <c r="I41" s="3"/>
    </row>
    <row r="42" spans="1:11">
      <c r="A42" s="94"/>
      <c r="B42" s="95">
        <v>44256</v>
      </c>
      <c r="C42" s="96"/>
      <c r="D42" s="96"/>
      <c r="E42" s="97"/>
      <c r="F42" s="98">
        <f>89303.39-575</f>
        <v>88728.39</v>
      </c>
      <c r="G42" s="87"/>
      <c r="H42" s="13"/>
    </row>
    <row r="43" spans="1:11">
      <c r="A43" s="94"/>
      <c r="B43" s="95">
        <v>44287</v>
      </c>
      <c r="C43" s="96"/>
      <c r="D43" s="96"/>
      <c r="E43" s="97"/>
      <c r="F43" s="98">
        <f>98813.03-575</f>
        <v>98238.03</v>
      </c>
      <c r="G43" s="87"/>
      <c r="H43" s="13"/>
    </row>
    <row r="44" spans="1:11">
      <c r="A44" s="94"/>
      <c r="B44" s="95">
        <v>44317</v>
      </c>
      <c r="C44" s="96"/>
      <c r="D44" s="96"/>
      <c r="E44" s="97"/>
      <c r="F44" s="98">
        <f>104865.94-575</f>
        <v>104290.94</v>
      </c>
      <c r="G44" s="87"/>
      <c r="H44" s="13"/>
    </row>
    <row r="45" spans="1:11">
      <c r="A45" s="94"/>
      <c r="B45" s="95">
        <v>44348</v>
      </c>
      <c r="C45" s="96"/>
      <c r="D45" s="96"/>
      <c r="E45" s="97"/>
      <c r="F45" s="98">
        <f>102513.88-575</f>
        <v>101938.88</v>
      </c>
      <c r="G45" s="87"/>
      <c r="H45" s="13"/>
    </row>
    <row r="46" spans="1:11">
      <c r="A46" s="94"/>
      <c r="B46" s="95">
        <v>44378</v>
      </c>
      <c r="C46" s="96"/>
      <c r="D46" s="96"/>
      <c r="E46" s="97"/>
      <c r="F46" s="98">
        <f>103351.66-575</f>
        <v>102776.66</v>
      </c>
      <c r="G46" s="87"/>
      <c r="H46" s="13"/>
    </row>
    <row r="47" spans="1:11">
      <c r="A47" s="94"/>
      <c r="B47" s="95">
        <v>44409</v>
      </c>
      <c r="C47" s="96"/>
      <c r="D47" s="96"/>
      <c r="E47" s="97"/>
      <c r="F47" s="98">
        <f>102565.94-575</f>
        <v>101990.94</v>
      </c>
      <c r="G47" s="87"/>
      <c r="H47" s="13"/>
    </row>
    <row r="48" spans="1:11">
      <c r="A48" s="94"/>
      <c r="B48" s="95">
        <v>44440</v>
      </c>
      <c r="C48" s="96"/>
      <c r="D48" s="96"/>
      <c r="E48" s="97"/>
      <c r="F48" s="98">
        <f>102565.94-575</f>
        <v>101990.94</v>
      </c>
      <c r="G48" s="87"/>
      <c r="H48" s="13"/>
    </row>
    <row r="49" spans="1:10">
      <c r="A49" s="94"/>
      <c r="B49" s="95">
        <v>44470</v>
      </c>
      <c r="C49" s="96"/>
      <c r="D49" s="96"/>
      <c r="E49" s="97"/>
      <c r="F49" s="98">
        <f>102845.33-575</f>
        <v>102270.33</v>
      </c>
      <c r="G49" s="87"/>
      <c r="H49" s="13"/>
    </row>
    <row r="50" spans="1:10">
      <c r="A50" s="94"/>
      <c r="B50" s="95">
        <v>44501</v>
      </c>
      <c r="C50" s="96"/>
      <c r="D50" s="96"/>
      <c r="E50" s="97"/>
      <c r="F50" s="98">
        <f>118378.1-575</f>
        <v>117803.1</v>
      </c>
      <c r="G50" s="87"/>
      <c r="H50" s="13"/>
    </row>
    <row r="51" spans="1:10">
      <c r="A51" s="94"/>
      <c r="B51" s="95">
        <v>44531</v>
      </c>
      <c r="C51" s="96"/>
      <c r="D51" s="96"/>
      <c r="E51" s="97"/>
      <c r="F51" s="98">
        <f>87699.82-575</f>
        <v>87124.82</v>
      </c>
      <c r="G51" s="87"/>
      <c r="H51" s="13"/>
    </row>
    <row r="52" spans="1:10" ht="57">
      <c r="A52" s="88" t="s">
        <v>4</v>
      </c>
      <c r="B52" s="89" t="s">
        <v>62</v>
      </c>
      <c r="C52" s="90">
        <v>30801.26</v>
      </c>
      <c r="D52" s="91">
        <v>12</v>
      </c>
      <c r="E52" s="92">
        <v>369615.13</v>
      </c>
      <c r="F52" s="93">
        <f>SUM(F53:F64)</f>
        <v>371045.54217999993</v>
      </c>
      <c r="G52" s="87">
        <f t="shared" ref="G52:G87" si="4">E52-F52</f>
        <v>-1430.4121799999266</v>
      </c>
      <c r="I52" s="3"/>
    </row>
    <row r="53" spans="1:10">
      <c r="A53" s="88"/>
      <c r="B53" s="95">
        <v>43831</v>
      </c>
      <c r="C53" s="90"/>
      <c r="D53" s="91"/>
      <c r="E53" s="92"/>
      <c r="F53" s="98">
        <f>F40*30.2%</f>
        <v>30627.613880000001</v>
      </c>
      <c r="G53" s="87"/>
    </row>
    <row r="54" spans="1:10">
      <c r="A54" s="88"/>
      <c r="B54" s="95">
        <v>43862</v>
      </c>
      <c r="C54" s="90"/>
      <c r="D54" s="91"/>
      <c r="E54" s="92"/>
      <c r="F54" s="98">
        <f>F41*30.2%</f>
        <v>36257.703239999995</v>
      </c>
      <c r="G54" s="87"/>
    </row>
    <row r="55" spans="1:10">
      <c r="A55" s="88"/>
      <c r="B55" s="95">
        <v>43891</v>
      </c>
      <c r="C55" s="90"/>
      <c r="D55" s="91"/>
      <c r="E55" s="92"/>
      <c r="F55" s="98">
        <f t="shared" ref="F55:F63" si="5">F42*30.2%</f>
        <v>26795.97378</v>
      </c>
      <c r="G55" s="87"/>
      <c r="H55" s="3"/>
    </row>
    <row r="56" spans="1:10">
      <c r="A56" s="88"/>
      <c r="B56" s="95">
        <v>43922</v>
      </c>
      <c r="C56" s="90"/>
      <c r="D56" s="91"/>
      <c r="E56" s="92"/>
      <c r="F56" s="98">
        <f t="shared" si="5"/>
        <v>29667.885060000001</v>
      </c>
      <c r="G56" s="87"/>
      <c r="I56" s="3"/>
      <c r="J56" s="3"/>
    </row>
    <row r="57" spans="1:10">
      <c r="A57" s="88"/>
      <c r="B57" s="95">
        <v>43952</v>
      </c>
      <c r="C57" s="90"/>
      <c r="D57" s="91"/>
      <c r="E57" s="92"/>
      <c r="F57" s="98">
        <f t="shared" si="5"/>
        <v>31495.863880000001</v>
      </c>
      <c r="G57" s="87"/>
    </row>
    <row r="58" spans="1:10">
      <c r="A58" s="88"/>
      <c r="B58" s="95">
        <v>43983</v>
      </c>
      <c r="C58" s="90"/>
      <c r="D58" s="91"/>
      <c r="E58" s="92"/>
      <c r="F58" s="98">
        <f t="shared" si="5"/>
        <v>30785.54176</v>
      </c>
      <c r="G58" s="87"/>
    </row>
    <row r="59" spans="1:10">
      <c r="A59" s="88"/>
      <c r="B59" s="95">
        <v>44013</v>
      </c>
      <c r="C59" s="90"/>
      <c r="D59" s="91"/>
      <c r="E59" s="92"/>
      <c r="F59" s="98">
        <f t="shared" si="5"/>
        <v>31038.551319999999</v>
      </c>
      <c r="G59" s="87"/>
      <c r="I59" s="13"/>
    </row>
    <row r="60" spans="1:10">
      <c r="A60" s="88"/>
      <c r="B60" s="95">
        <v>44044</v>
      </c>
      <c r="C60" s="90"/>
      <c r="D60" s="91"/>
      <c r="E60" s="92"/>
      <c r="F60" s="98">
        <f t="shared" si="5"/>
        <v>30801.263879999999</v>
      </c>
      <c r="G60" s="87"/>
    </row>
    <row r="61" spans="1:10">
      <c r="A61" s="88"/>
      <c r="B61" s="95">
        <v>44075</v>
      </c>
      <c r="C61" s="90"/>
      <c r="D61" s="91"/>
      <c r="E61" s="92"/>
      <c r="F61" s="98">
        <f t="shared" si="5"/>
        <v>30801.263879999999</v>
      </c>
      <c r="G61" s="87"/>
    </row>
    <row r="62" spans="1:10">
      <c r="A62" s="88"/>
      <c r="B62" s="95">
        <v>44105</v>
      </c>
      <c r="C62" s="90"/>
      <c r="D62" s="91"/>
      <c r="E62" s="92"/>
      <c r="F62" s="98">
        <f t="shared" si="5"/>
        <v>30885.639660000001</v>
      </c>
      <c r="G62" s="87"/>
      <c r="I62" s="69"/>
    </row>
    <row r="63" spans="1:10">
      <c r="A63" s="88"/>
      <c r="B63" s="95">
        <v>44136</v>
      </c>
      <c r="C63" s="90"/>
      <c r="D63" s="91"/>
      <c r="E63" s="92"/>
      <c r="F63" s="98">
        <f t="shared" si="5"/>
        <v>35576.536200000002</v>
      </c>
      <c r="G63" s="87"/>
      <c r="I63" s="69"/>
    </row>
    <row r="64" spans="1:10">
      <c r="A64" s="88"/>
      <c r="B64" s="95">
        <v>44166</v>
      </c>
      <c r="C64" s="90"/>
      <c r="D64" s="91"/>
      <c r="E64" s="92"/>
      <c r="F64" s="98">
        <f>F51*30.2%+0.01</f>
        <v>26311.70564</v>
      </c>
      <c r="G64" s="87"/>
    </row>
    <row r="65" spans="1:9" s="4" customFormat="1" ht="57">
      <c r="A65" s="88" t="s">
        <v>5</v>
      </c>
      <c r="B65" s="89" t="s">
        <v>41</v>
      </c>
      <c r="C65" s="90">
        <v>52590.93</v>
      </c>
      <c r="D65" s="91">
        <v>1</v>
      </c>
      <c r="E65" s="92">
        <f>C65*D65</f>
        <v>52590.93</v>
      </c>
      <c r="F65" s="93">
        <f>SUM(F66:F68)</f>
        <v>41161</v>
      </c>
      <c r="G65" s="87">
        <f t="shared" si="4"/>
        <v>11429.93</v>
      </c>
    </row>
    <row r="66" spans="1:9" s="4" customFormat="1">
      <c r="A66" s="94"/>
      <c r="B66" s="99" t="s">
        <v>99</v>
      </c>
      <c r="C66" s="80"/>
      <c r="D66" s="80"/>
      <c r="E66" s="97" t="s">
        <v>43</v>
      </c>
      <c r="F66" s="98">
        <v>18280</v>
      </c>
      <c r="G66" s="87"/>
    </row>
    <row r="67" spans="1:9" s="4" customFormat="1">
      <c r="A67" s="94"/>
      <c r="B67" s="99" t="s">
        <v>122</v>
      </c>
      <c r="C67" s="80"/>
      <c r="D67" s="80"/>
      <c r="E67" s="97" t="s">
        <v>123</v>
      </c>
      <c r="F67" s="98">
        <v>7627</v>
      </c>
      <c r="G67" s="87"/>
    </row>
    <row r="68" spans="1:9" s="4" customFormat="1">
      <c r="A68" s="94"/>
      <c r="B68" s="99" t="s">
        <v>44</v>
      </c>
      <c r="C68" s="80"/>
      <c r="D68" s="80"/>
      <c r="E68" s="97" t="s">
        <v>45</v>
      </c>
      <c r="F68" s="98">
        <v>15254</v>
      </c>
      <c r="G68" s="87"/>
    </row>
    <row r="69" spans="1:9" s="4" customFormat="1" ht="42.75">
      <c r="A69" s="88" t="s">
        <v>6</v>
      </c>
      <c r="B69" s="89" t="s">
        <v>63</v>
      </c>
      <c r="C69" s="90">
        <v>14252.14</v>
      </c>
      <c r="D69" s="91">
        <v>1</v>
      </c>
      <c r="E69" s="92">
        <f>C69*D69</f>
        <v>14252.14</v>
      </c>
      <c r="F69" s="93">
        <f>SUM(F70:F73)</f>
        <v>11154.630999999999</v>
      </c>
      <c r="G69" s="87">
        <f t="shared" si="4"/>
        <v>3097.509</v>
      </c>
      <c r="I69" s="8"/>
    </row>
    <row r="70" spans="1:9" s="4" customFormat="1">
      <c r="A70" s="88"/>
      <c r="B70" s="99" t="s">
        <v>42</v>
      </c>
      <c r="C70" s="82"/>
      <c r="D70" s="80"/>
      <c r="E70" s="97" t="s">
        <v>43</v>
      </c>
      <c r="F70" s="98">
        <f>F66*27.1%</f>
        <v>4953.88</v>
      </c>
      <c r="G70" s="87"/>
    </row>
    <row r="71" spans="1:9" s="4" customFormat="1">
      <c r="A71" s="88"/>
      <c r="B71" s="99" t="s">
        <v>44</v>
      </c>
      <c r="C71" s="82"/>
      <c r="D71" s="80"/>
      <c r="E71" s="97" t="s">
        <v>45</v>
      </c>
      <c r="F71" s="98">
        <f>F68*27.1%</f>
        <v>4133.8339999999998</v>
      </c>
      <c r="G71" s="87"/>
    </row>
    <row r="72" spans="1:9" s="4" customFormat="1">
      <c r="A72" s="88"/>
      <c r="B72" s="99" t="s">
        <v>122</v>
      </c>
      <c r="C72" s="80"/>
      <c r="D72" s="80"/>
      <c r="E72" s="97" t="s">
        <v>123</v>
      </c>
      <c r="F72" s="98">
        <f>F67*0.271</f>
        <v>2066.9169999999999</v>
      </c>
      <c r="G72" s="87"/>
    </row>
    <row r="73" spans="1:9" s="4" customFormat="1">
      <c r="A73" s="88"/>
      <c r="B73" s="89"/>
      <c r="C73" s="100"/>
      <c r="D73" s="91"/>
      <c r="E73" s="92"/>
      <c r="F73" s="98"/>
      <c r="G73" s="87"/>
    </row>
    <row r="74" spans="1:9" s="4" customFormat="1" ht="34.5" customHeight="1">
      <c r="A74" s="83" t="s">
        <v>7</v>
      </c>
      <c r="B74" s="52" t="s">
        <v>46</v>
      </c>
      <c r="C74" s="47">
        <v>2500</v>
      </c>
      <c r="D74" s="47">
        <v>12</v>
      </c>
      <c r="E74" s="86">
        <f>C74*D74</f>
        <v>30000</v>
      </c>
      <c r="F74" s="86">
        <f>SUM(F75:F86)</f>
        <v>30000</v>
      </c>
      <c r="G74" s="87">
        <f t="shared" si="4"/>
        <v>0</v>
      </c>
      <c r="I74" s="8"/>
    </row>
    <row r="75" spans="1:9" s="4" customFormat="1" ht="20.100000000000001" customHeight="1">
      <c r="A75" s="51"/>
      <c r="B75" s="95">
        <v>44197</v>
      </c>
      <c r="C75" s="101"/>
      <c r="D75" s="101"/>
      <c r="E75" s="61"/>
      <c r="F75" s="61">
        <v>2500</v>
      </c>
      <c r="G75" s="87"/>
    </row>
    <row r="76" spans="1:9" s="4" customFormat="1" ht="20.100000000000001" customHeight="1">
      <c r="A76" s="51"/>
      <c r="B76" s="95">
        <v>44228</v>
      </c>
      <c r="C76" s="101"/>
      <c r="D76" s="101"/>
      <c r="E76" s="61"/>
      <c r="F76" s="61">
        <v>2500</v>
      </c>
      <c r="G76" s="87"/>
    </row>
    <row r="77" spans="1:9" s="4" customFormat="1" ht="20.100000000000001" customHeight="1">
      <c r="A77" s="51"/>
      <c r="B77" s="95">
        <v>44256</v>
      </c>
      <c r="C77" s="101"/>
      <c r="D77" s="101"/>
      <c r="E77" s="61"/>
      <c r="F77" s="61">
        <v>2500</v>
      </c>
      <c r="G77" s="87"/>
    </row>
    <row r="78" spans="1:9" s="4" customFormat="1" ht="20.100000000000001" customHeight="1">
      <c r="A78" s="51"/>
      <c r="B78" s="95">
        <v>44287</v>
      </c>
      <c r="C78" s="101"/>
      <c r="D78" s="101"/>
      <c r="E78" s="61"/>
      <c r="F78" s="61">
        <v>2500</v>
      </c>
      <c r="G78" s="87"/>
    </row>
    <row r="79" spans="1:9" s="4" customFormat="1" ht="20.100000000000001" customHeight="1">
      <c r="A79" s="51"/>
      <c r="B79" s="95">
        <v>44317</v>
      </c>
      <c r="C79" s="101"/>
      <c r="D79" s="101"/>
      <c r="E79" s="61"/>
      <c r="F79" s="61">
        <v>2500</v>
      </c>
      <c r="G79" s="87"/>
    </row>
    <row r="80" spans="1:9" s="4" customFormat="1" ht="20.100000000000001" customHeight="1">
      <c r="A80" s="51"/>
      <c r="B80" s="95">
        <v>44348</v>
      </c>
      <c r="C80" s="101"/>
      <c r="D80" s="101"/>
      <c r="E80" s="61"/>
      <c r="F80" s="61">
        <v>2500</v>
      </c>
      <c r="G80" s="87"/>
    </row>
    <row r="81" spans="1:9" s="4" customFormat="1" ht="20.100000000000001" customHeight="1">
      <c r="A81" s="51"/>
      <c r="B81" s="95">
        <v>44378</v>
      </c>
      <c r="C81" s="101"/>
      <c r="D81" s="101"/>
      <c r="E81" s="61"/>
      <c r="F81" s="61">
        <v>2500</v>
      </c>
      <c r="G81" s="87"/>
    </row>
    <row r="82" spans="1:9" s="4" customFormat="1" ht="20.100000000000001" customHeight="1">
      <c r="A82" s="51"/>
      <c r="B82" s="95">
        <v>44409</v>
      </c>
      <c r="C82" s="101"/>
      <c r="D82" s="101"/>
      <c r="E82" s="61"/>
      <c r="F82" s="61">
        <v>2500</v>
      </c>
      <c r="G82" s="87"/>
    </row>
    <row r="83" spans="1:9" s="4" customFormat="1" ht="20.100000000000001" customHeight="1">
      <c r="A83" s="51"/>
      <c r="B83" s="95">
        <v>44440</v>
      </c>
      <c r="C83" s="101"/>
      <c r="D83" s="101"/>
      <c r="E83" s="61"/>
      <c r="F83" s="61">
        <v>2500</v>
      </c>
      <c r="G83" s="87"/>
    </row>
    <row r="84" spans="1:9" s="4" customFormat="1" ht="20.100000000000001" customHeight="1">
      <c r="A84" s="51"/>
      <c r="B84" s="95">
        <v>44470</v>
      </c>
      <c r="C84" s="101"/>
      <c r="D84" s="101"/>
      <c r="E84" s="61"/>
      <c r="F84" s="61">
        <v>2500</v>
      </c>
      <c r="G84" s="87"/>
    </row>
    <row r="85" spans="1:9" s="4" customFormat="1" ht="20.100000000000001" customHeight="1">
      <c r="A85" s="51"/>
      <c r="B85" s="95">
        <v>44501</v>
      </c>
      <c r="C85" s="101"/>
      <c r="D85" s="101"/>
      <c r="E85" s="61"/>
      <c r="F85" s="61">
        <v>2500</v>
      </c>
      <c r="G85" s="87"/>
    </row>
    <row r="86" spans="1:9" s="4" customFormat="1" ht="20.100000000000001" customHeight="1">
      <c r="A86" s="51"/>
      <c r="B86" s="95">
        <v>44531</v>
      </c>
      <c r="C86" s="101"/>
      <c r="D86" s="101"/>
      <c r="E86" s="61"/>
      <c r="F86" s="61">
        <v>2500</v>
      </c>
      <c r="G86" s="87"/>
    </row>
    <row r="87" spans="1:9" s="4" customFormat="1" ht="33.75" customHeight="1">
      <c r="A87" s="83" t="s">
        <v>14</v>
      </c>
      <c r="B87" s="52" t="s">
        <v>47</v>
      </c>
      <c r="C87" s="47">
        <v>3000</v>
      </c>
      <c r="D87" s="47">
        <v>12</v>
      </c>
      <c r="E87" s="86">
        <f>C87*D87</f>
        <v>36000</v>
      </c>
      <c r="F87" s="86">
        <f>SUM(F88:F99)</f>
        <v>31875.97</v>
      </c>
      <c r="G87" s="87">
        <f t="shared" si="4"/>
        <v>4124.0299999999988</v>
      </c>
      <c r="I87" s="8"/>
    </row>
    <row r="88" spans="1:9" s="4" customFormat="1">
      <c r="A88" s="51"/>
      <c r="B88" s="95">
        <v>44197</v>
      </c>
      <c r="C88" s="102"/>
      <c r="D88" s="101"/>
      <c r="E88" s="86">
        <f t="shared" ref="E88:E129" si="6">C88*D88</f>
        <v>0</v>
      </c>
      <c r="F88" s="61">
        <v>416.38</v>
      </c>
      <c r="G88" s="87"/>
    </row>
    <row r="89" spans="1:9" s="4" customFormat="1">
      <c r="A89" s="51"/>
      <c r="B89" s="95">
        <v>44228</v>
      </c>
      <c r="C89" s="102"/>
      <c r="D89" s="101"/>
      <c r="E89" s="86">
        <f t="shared" si="6"/>
        <v>0</v>
      </c>
      <c r="F89" s="61">
        <v>2575.91</v>
      </c>
      <c r="G89" s="87"/>
    </row>
    <row r="90" spans="1:9" s="4" customFormat="1">
      <c r="A90" s="51"/>
      <c r="B90" s="95">
        <v>44256</v>
      </c>
      <c r="C90" s="102"/>
      <c r="D90" s="101"/>
      <c r="E90" s="86">
        <f t="shared" si="6"/>
        <v>0</v>
      </c>
      <c r="F90" s="61">
        <v>2659.95</v>
      </c>
      <c r="G90" s="87"/>
    </row>
    <row r="91" spans="1:9" s="4" customFormat="1">
      <c r="A91" s="51"/>
      <c r="B91" s="95">
        <v>44287</v>
      </c>
      <c r="C91" s="102"/>
      <c r="D91" s="101"/>
      <c r="E91" s="86">
        <f t="shared" si="6"/>
        <v>0</v>
      </c>
      <c r="F91" s="61">
        <v>2968.41</v>
      </c>
      <c r="G91" s="87"/>
    </row>
    <row r="92" spans="1:9" s="4" customFormat="1">
      <c r="A92" s="51"/>
      <c r="B92" s="95">
        <v>44317</v>
      </c>
      <c r="C92" s="102"/>
      <c r="D92" s="101"/>
      <c r="E92" s="86">
        <f t="shared" si="6"/>
        <v>0</v>
      </c>
      <c r="F92" s="61">
        <v>2354.36</v>
      </c>
      <c r="G92" s="87"/>
    </row>
    <row r="93" spans="1:9" s="4" customFormat="1">
      <c r="A93" s="51"/>
      <c r="B93" s="95">
        <v>44348</v>
      </c>
      <c r="C93" s="102"/>
      <c r="D93" s="101"/>
      <c r="E93" s="86">
        <f t="shared" si="6"/>
        <v>0</v>
      </c>
      <c r="F93" s="61">
        <v>2500.67</v>
      </c>
      <c r="G93" s="87"/>
    </row>
    <row r="94" spans="1:9" s="4" customFormat="1">
      <c r="A94" s="51"/>
      <c r="B94" s="95">
        <v>44378</v>
      </c>
      <c r="C94" s="102"/>
      <c r="D94" s="101"/>
      <c r="E94" s="86">
        <f t="shared" si="6"/>
        <v>0</v>
      </c>
      <c r="F94" s="61">
        <v>2682.45</v>
      </c>
      <c r="G94" s="87"/>
    </row>
    <row r="95" spans="1:9" s="4" customFormat="1">
      <c r="A95" s="51"/>
      <c r="B95" s="95">
        <v>44409</v>
      </c>
      <c r="C95" s="102"/>
      <c r="D95" s="101"/>
      <c r="E95" s="86">
        <f t="shared" si="6"/>
        <v>0</v>
      </c>
      <c r="F95" s="61">
        <v>3021.71</v>
      </c>
      <c r="G95" s="87"/>
    </row>
    <row r="96" spans="1:9" s="4" customFormat="1">
      <c r="A96" s="51"/>
      <c r="B96" s="95">
        <v>44440</v>
      </c>
      <c r="C96" s="102"/>
      <c r="D96" s="101"/>
      <c r="E96" s="86">
        <f t="shared" si="6"/>
        <v>0</v>
      </c>
      <c r="F96" s="61">
        <v>2750.95</v>
      </c>
      <c r="G96" s="87"/>
    </row>
    <row r="97" spans="1:9" s="4" customFormat="1">
      <c r="A97" s="51"/>
      <c r="B97" s="95">
        <v>44470</v>
      </c>
      <c r="C97" s="102"/>
      <c r="D97" s="101"/>
      <c r="E97" s="86">
        <f t="shared" si="6"/>
        <v>0</v>
      </c>
      <c r="F97" s="61">
        <v>2611.6999999999998</v>
      </c>
      <c r="G97" s="87"/>
    </row>
    <row r="98" spans="1:9" s="4" customFormat="1">
      <c r="A98" s="51"/>
      <c r="B98" s="95">
        <v>44501</v>
      </c>
      <c r="C98" s="102"/>
      <c r="D98" s="101"/>
      <c r="E98" s="86">
        <f t="shared" si="6"/>
        <v>0</v>
      </c>
      <c r="F98" s="61">
        <v>2570.63</v>
      </c>
      <c r="G98" s="87"/>
    </row>
    <row r="99" spans="1:9" s="4" customFormat="1">
      <c r="A99" s="51"/>
      <c r="B99" s="95">
        <v>44531</v>
      </c>
      <c r="C99" s="102"/>
      <c r="D99" s="101"/>
      <c r="E99" s="86">
        <f t="shared" si="6"/>
        <v>0</v>
      </c>
      <c r="F99" s="61">
        <v>4762.8500000000004</v>
      </c>
      <c r="G99" s="87"/>
    </row>
    <row r="100" spans="1:9" s="4" customFormat="1" ht="57" customHeight="1">
      <c r="A100" s="83" t="s">
        <v>66</v>
      </c>
      <c r="B100" s="52" t="s">
        <v>48</v>
      </c>
      <c r="C100" s="47">
        <v>6500</v>
      </c>
      <c r="D100" s="47">
        <v>12</v>
      </c>
      <c r="E100" s="86">
        <f>C100*D100</f>
        <v>78000</v>
      </c>
      <c r="F100" s="86">
        <f>SUM(F101:F115)</f>
        <v>229240.71000000002</v>
      </c>
      <c r="G100" s="87">
        <f>E100-F100</f>
        <v>-151240.71000000002</v>
      </c>
      <c r="I100" s="8"/>
    </row>
    <row r="101" spans="1:9" s="4" customFormat="1" ht="30">
      <c r="A101" s="51"/>
      <c r="B101" s="68" t="s">
        <v>81</v>
      </c>
      <c r="C101" s="78"/>
      <c r="D101" s="78"/>
      <c r="E101" s="86"/>
      <c r="F101" s="61">
        <f>117+33+865+212+143</f>
        <v>1370</v>
      </c>
      <c r="G101" s="87"/>
      <c r="I101" s="8"/>
    </row>
    <row r="102" spans="1:9" s="4" customFormat="1" ht="60">
      <c r="A102" s="51"/>
      <c r="B102" s="68" t="s">
        <v>86</v>
      </c>
      <c r="C102" s="78"/>
      <c r="D102" s="78"/>
      <c r="E102" s="86"/>
      <c r="F102" s="61">
        <f>1990+486</f>
        <v>2476</v>
      </c>
      <c r="G102" s="87"/>
      <c r="I102" s="8"/>
    </row>
    <row r="103" spans="1:9" s="4" customFormat="1">
      <c r="A103" s="51"/>
      <c r="B103" s="68" t="s">
        <v>82</v>
      </c>
      <c r="C103" s="78"/>
      <c r="D103" s="78"/>
      <c r="E103" s="86"/>
      <c r="F103" s="61">
        <f>17.2+15.2</f>
        <v>32.4</v>
      </c>
      <c r="G103" s="87"/>
    </row>
    <row r="104" spans="1:9" s="4" customFormat="1" ht="75">
      <c r="A104" s="51"/>
      <c r="B104" s="68" t="s">
        <v>85</v>
      </c>
      <c r="C104" s="78"/>
      <c r="D104" s="78"/>
      <c r="E104" s="86"/>
      <c r="F104" s="61">
        <f>146.4+1560+163+194+169+1290+184+623+116.85+89.3+615+114+51.3</f>
        <v>5315.85</v>
      </c>
      <c r="G104" s="87"/>
      <c r="I104" s="8"/>
    </row>
    <row r="105" spans="1:9" s="4" customFormat="1">
      <c r="A105" s="51"/>
      <c r="B105" s="68" t="s">
        <v>83</v>
      </c>
      <c r="C105" s="78"/>
      <c r="D105" s="78"/>
      <c r="E105" s="86"/>
      <c r="F105" s="61">
        <f>508+84+192+752+436+158+325</f>
        <v>2455</v>
      </c>
      <c r="G105" s="87"/>
    </row>
    <row r="106" spans="1:9" s="4" customFormat="1" ht="45">
      <c r="A106" s="51"/>
      <c r="B106" s="68" t="s">
        <v>84</v>
      </c>
      <c r="C106" s="78"/>
      <c r="D106" s="78"/>
      <c r="E106" s="86"/>
      <c r="F106" s="61">
        <f>229+502.22+250.5+51.68+170+631+2050+739.92</f>
        <v>4624.32</v>
      </c>
      <c r="G106" s="87"/>
      <c r="I106" s="8"/>
    </row>
    <row r="107" spans="1:9" s="4" customFormat="1" ht="45">
      <c r="A107" s="51"/>
      <c r="B107" s="68" t="s">
        <v>120</v>
      </c>
      <c r="C107" s="78"/>
      <c r="D107" s="78"/>
      <c r="E107" s="86"/>
      <c r="F107" s="61">
        <f>905</f>
        <v>905</v>
      </c>
      <c r="G107" s="87"/>
    </row>
    <row r="108" spans="1:9" s="4" customFormat="1" ht="45">
      <c r="A108" s="51"/>
      <c r="B108" s="68" t="s">
        <v>121</v>
      </c>
      <c r="C108" s="78"/>
      <c r="D108" s="78"/>
      <c r="E108" s="86"/>
      <c r="F108" s="61">
        <f>4812</f>
        <v>4812</v>
      </c>
      <c r="G108" s="87"/>
    </row>
    <row r="109" spans="1:9" s="4" customFormat="1" ht="60">
      <c r="A109" s="51"/>
      <c r="B109" s="68" t="s">
        <v>119</v>
      </c>
      <c r="C109" s="78"/>
      <c r="D109" s="78"/>
      <c r="E109" s="86"/>
      <c r="F109" s="61">
        <f>440+429+7070+366+1320</f>
        <v>9625</v>
      </c>
      <c r="G109" s="87"/>
    </row>
    <row r="110" spans="1:9" s="4" customFormat="1" ht="45">
      <c r="A110" s="51"/>
      <c r="B110" s="68" t="s">
        <v>126</v>
      </c>
      <c r="C110" s="78"/>
      <c r="D110" s="78"/>
      <c r="E110" s="86"/>
      <c r="F110" s="61">
        <f>825+219+136</f>
        <v>1180</v>
      </c>
      <c r="G110" s="87"/>
    </row>
    <row r="111" spans="1:9" s="4" customFormat="1" ht="45">
      <c r="A111" s="51"/>
      <c r="B111" s="68" t="s">
        <v>127</v>
      </c>
      <c r="C111" s="78"/>
      <c r="D111" s="78"/>
      <c r="E111" s="86"/>
      <c r="F111" s="61">
        <v>2242</v>
      </c>
      <c r="G111" s="87"/>
    </row>
    <row r="112" spans="1:9" s="4" customFormat="1" ht="45">
      <c r="A112" s="51"/>
      <c r="B112" s="68" t="s">
        <v>117</v>
      </c>
      <c r="C112" s="78"/>
      <c r="D112" s="78"/>
      <c r="E112" s="86"/>
      <c r="F112" s="61">
        <f>511.69+1015.67+261.64+173.67</f>
        <v>1962.67</v>
      </c>
      <c r="G112" s="87"/>
    </row>
    <row r="113" spans="1:9" s="4" customFormat="1" ht="60">
      <c r="A113" s="51"/>
      <c r="B113" s="68" t="s">
        <v>118</v>
      </c>
      <c r="C113" s="78"/>
      <c r="D113" s="78"/>
      <c r="E113" s="86"/>
      <c r="F113" s="61">
        <f>35700+7437.4+16624.61+5216.11+1213.42+2500.79+2270+32100+11428.2+21951.07+12523.37</f>
        <v>148964.97</v>
      </c>
      <c r="G113" s="87"/>
    </row>
    <row r="114" spans="1:9" s="4" customFormat="1" ht="75">
      <c r="A114" s="51"/>
      <c r="B114" s="68" t="s">
        <v>88</v>
      </c>
      <c r="C114" s="78"/>
      <c r="D114" s="78"/>
      <c r="E114" s="86"/>
      <c r="F114" s="61">
        <f>1323+238+163.98</f>
        <v>1724.98</v>
      </c>
      <c r="G114" s="87"/>
    </row>
    <row r="115" spans="1:9" s="4" customFormat="1" ht="60">
      <c r="A115" s="51"/>
      <c r="B115" s="68" t="s">
        <v>87</v>
      </c>
      <c r="C115" s="78"/>
      <c r="D115" s="78"/>
      <c r="E115" s="61"/>
      <c r="F115" s="61">
        <f>469.68+20286+4693+329.4+330.3+322.14+15120</f>
        <v>41550.520000000004</v>
      </c>
      <c r="G115" s="87"/>
    </row>
    <row r="116" spans="1:9" s="4" customFormat="1" ht="43.5" customHeight="1">
      <c r="A116" s="83" t="s">
        <v>67</v>
      </c>
      <c r="B116" s="52" t="s">
        <v>91</v>
      </c>
      <c r="C116" s="47">
        <v>1393.3</v>
      </c>
      <c r="D116" s="47">
        <v>12</v>
      </c>
      <c r="E116" s="86">
        <f t="shared" si="6"/>
        <v>16719.599999999999</v>
      </c>
      <c r="F116" s="86">
        <f>SUM(F117:F121)</f>
        <v>15927.16</v>
      </c>
      <c r="G116" s="87">
        <f>E116-F116</f>
        <v>792.43999999999869</v>
      </c>
    </row>
    <row r="117" spans="1:9" s="4" customFormat="1" ht="20.100000000000001" customHeight="1">
      <c r="A117" s="51"/>
      <c r="B117" s="48" t="s">
        <v>49</v>
      </c>
      <c r="C117" s="48"/>
      <c r="D117" s="78"/>
      <c r="E117" s="86"/>
      <c r="F117" s="61">
        <f>171.01+2550+6.5+308+264+665+220+270+192+112+154.2+238.5+27+61.2+18+110.4+82+64.1</f>
        <v>5513.91</v>
      </c>
      <c r="G117" s="87"/>
      <c r="I117" s="8"/>
    </row>
    <row r="118" spans="1:9" s="4" customFormat="1" ht="20.100000000000001" customHeight="1">
      <c r="A118" s="51"/>
      <c r="B118" s="48" t="s">
        <v>50</v>
      </c>
      <c r="C118" s="48"/>
      <c r="D118" s="78"/>
      <c r="E118" s="86"/>
      <c r="F118" s="61">
        <f>660+330+192</f>
        <v>1182</v>
      </c>
      <c r="G118" s="87"/>
    </row>
    <row r="119" spans="1:9" s="4" customFormat="1" ht="45">
      <c r="A119" s="51"/>
      <c r="B119" s="68" t="s">
        <v>51</v>
      </c>
      <c r="C119" s="81"/>
      <c r="D119" s="79"/>
      <c r="E119" s="86"/>
      <c r="F119" s="45">
        <v>5648</v>
      </c>
      <c r="G119" s="87"/>
    </row>
    <row r="120" spans="1:9" s="4" customFormat="1" ht="20.100000000000001" customHeight="1">
      <c r="A120" s="51"/>
      <c r="B120" s="68" t="s">
        <v>52</v>
      </c>
      <c r="C120" s="81"/>
      <c r="D120" s="79"/>
      <c r="E120" s="86"/>
      <c r="F120" s="45">
        <f>800+700+720</f>
        <v>2220</v>
      </c>
      <c r="G120" s="87"/>
    </row>
    <row r="121" spans="1:9" s="4" customFormat="1" ht="20.100000000000001" customHeight="1">
      <c r="A121" s="51"/>
      <c r="B121" s="48" t="s">
        <v>80</v>
      </c>
      <c r="C121" s="48"/>
      <c r="D121" s="78"/>
      <c r="E121" s="86"/>
      <c r="F121" s="61">
        <v>1363.25</v>
      </c>
      <c r="G121" s="87"/>
      <c r="I121" s="8"/>
    </row>
    <row r="122" spans="1:9" s="4" customFormat="1" ht="27.75" customHeight="1">
      <c r="A122" s="83" t="s">
        <v>68</v>
      </c>
      <c r="B122" s="52" t="s">
        <v>53</v>
      </c>
      <c r="C122" s="46">
        <v>50000</v>
      </c>
      <c r="D122" s="47">
        <v>4</v>
      </c>
      <c r="E122" s="86">
        <f t="shared" si="6"/>
        <v>200000</v>
      </c>
      <c r="F122" s="86">
        <f>SUM(F123:F123)</f>
        <v>98440</v>
      </c>
      <c r="G122" s="87">
        <f t="shared" ref="G122" si="7">E122-F122</f>
        <v>101560</v>
      </c>
    </row>
    <row r="123" spans="1:9" s="4" customFormat="1">
      <c r="A123" s="83"/>
      <c r="B123" s="48" t="s">
        <v>90</v>
      </c>
      <c r="C123" s="47"/>
      <c r="D123" s="47"/>
      <c r="E123" s="86"/>
      <c r="F123" s="61">
        <v>98440</v>
      </c>
      <c r="G123" s="87"/>
    </row>
    <row r="124" spans="1:9" s="4" customFormat="1" ht="27.75" customHeight="1">
      <c r="A124" s="103" t="s">
        <v>69</v>
      </c>
      <c r="B124" s="52" t="s">
        <v>54</v>
      </c>
      <c r="C124" s="46">
        <v>12000</v>
      </c>
      <c r="D124" s="47">
        <v>6</v>
      </c>
      <c r="E124" s="86">
        <f t="shared" si="6"/>
        <v>72000</v>
      </c>
      <c r="F124" s="86">
        <f>SUM(F125:F126)</f>
        <v>38970</v>
      </c>
      <c r="G124" s="87">
        <f t="shared" ref="G124" si="8">E124-F124</f>
        <v>33030</v>
      </c>
    </row>
    <row r="125" spans="1:9" s="4" customFormat="1" ht="30">
      <c r="A125" s="51"/>
      <c r="B125" s="48" t="s">
        <v>79</v>
      </c>
      <c r="C125" s="6"/>
      <c r="D125" s="78"/>
      <c r="E125" s="86"/>
      <c r="F125" s="61">
        <f>11170+9100+9100</f>
        <v>29370</v>
      </c>
      <c r="G125" s="87"/>
    </row>
    <row r="126" spans="1:9" s="4" customFormat="1" ht="30">
      <c r="A126" s="51"/>
      <c r="B126" s="48" t="s">
        <v>78</v>
      </c>
      <c r="C126" s="6"/>
      <c r="D126" s="78"/>
      <c r="E126" s="86"/>
      <c r="F126" s="61">
        <v>9600</v>
      </c>
      <c r="G126" s="87"/>
    </row>
    <row r="127" spans="1:9" s="4" customFormat="1" ht="29.25" customHeight="1">
      <c r="A127" s="83" t="s">
        <v>70</v>
      </c>
      <c r="B127" s="52" t="s">
        <v>55</v>
      </c>
      <c r="C127" s="46">
        <v>4000</v>
      </c>
      <c r="D127" s="47">
        <v>1</v>
      </c>
      <c r="E127" s="86">
        <f>C127*D127</f>
        <v>4000</v>
      </c>
      <c r="F127" s="86">
        <v>2900</v>
      </c>
      <c r="G127" s="87">
        <f t="shared" ref="G127" si="9">E127-F127</f>
        <v>1100</v>
      </c>
    </row>
    <row r="128" spans="1:9" s="4" customFormat="1" ht="71.25">
      <c r="A128" s="83" t="s">
        <v>71</v>
      </c>
      <c r="B128" s="52" t="s">
        <v>100</v>
      </c>
      <c r="C128" s="46">
        <v>7181.15</v>
      </c>
      <c r="D128" s="47">
        <v>12</v>
      </c>
      <c r="E128" s="86">
        <v>86173.8</v>
      </c>
      <c r="F128" s="86">
        <f>5650*1.271*12</f>
        <v>86173.799999999988</v>
      </c>
      <c r="G128" s="87">
        <f t="shared" ref="G128:G136" si="10">E128-F128</f>
        <v>0</v>
      </c>
      <c r="I128" s="8"/>
    </row>
    <row r="129" spans="1:9" s="4" customFormat="1" ht="42.75">
      <c r="A129" s="83" t="s">
        <v>72</v>
      </c>
      <c r="B129" s="52" t="s">
        <v>56</v>
      </c>
      <c r="C129" s="46">
        <v>4000</v>
      </c>
      <c r="D129" s="47">
        <v>2</v>
      </c>
      <c r="E129" s="86">
        <f t="shared" si="6"/>
        <v>8000</v>
      </c>
      <c r="F129" s="86">
        <v>0</v>
      </c>
      <c r="G129" s="87">
        <f t="shared" si="10"/>
        <v>8000</v>
      </c>
    </row>
    <row r="130" spans="1:9" s="4" customFormat="1" ht="42.75">
      <c r="A130" s="83" t="s">
        <v>73</v>
      </c>
      <c r="B130" s="52" t="s">
        <v>101</v>
      </c>
      <c r="C130" s="46">
        <v>7000</v>
      </c>
      <c r="D130" s="47">
        <v>1</v>
      </c>
      <c r="E130" s="86">
        <f t="shared" ref="E130:E136" si="11">C130*D130</f>
        <v>7000</v>
      </c>
      <c r="F130" s="86"/>
      <c r="G130" s="87">
        <f t="shared" si="10"/>
        <v>7000</v>
      </c>
      <c r="I130" s="8"/>
    </row>
    <row r="131" spans="1:9" s="4" customFormat="1" ht="28.5">
      <c r="A131" s="83" t="s">
        <v>102</v>
      </c>
      <c r="B131" s="52" t="s">
        <v>103</v>
      </c>
      <c r="C131" s="46">
        <v>1368</v>
      </c>
      <c r="D131" s="47">
        <v>12</v>
      </c>
      <c r="E131" s="86">
        <f t="shared" si="11"/>
        <v>16416</v>
      </c>
      <c r="F131" s="86">
        <f>1368*11</f>
        <v>15048</v>
      </c>
      <c r="G131" s="87">
        <f t="shared" si="10"/>
        <v>1368</v>
      </c>
      <c r="I131" s="8"/>
    </row>
    <row r="132" spans="1:9" s="4" customFormat="1">
      <c r="A132" s="83" t="s">
        <v>74</v>
      </c>
      <c r="B132" s="52" t="s">
        <v>104</v>
      </c>
      <c r="C132" s="46">
        <v>889</v>
      </c>
      <c r="D132" s="47">
        <v>12</v>
      </c>
      <c r="E132" s="86">
        <f t="shared" si="11"/>
        <v>10668</v>
      </c>
      <c r="F132" s="86">
        <f>575*1.302*12</f>
        <v>8983.7999999999993</v>
      </c>
      <c r="G132" s="87">
        <f t="shared" si="10"/>
        <v>1684.2000000000007</v>
      </c>
      <c r="I132" s="8"/>
    </row>
    <row r="133" spans="1:9" s="4" customFormat="1" ht="28.5">
      <c r="A133" s="83" t="s">
        <v>105</v>
      </c>
      <c r="B133" s="52" t="s">
        <v>106</v>
      </c>
      <c r="C133" s="46">
        <v>3627</v>
      </c>
      <c r="D133" s="47">
        <v>1</v>
      </c>
      <c r="E133" s="86">
        <f t="shared" si="11"/>
        <v>3627</v>
      </c>
      <c r="F133" s="86">
        <v>3627</v>
      </c>
      <c r="G133" s="87">
        <f t="shared" si="10"/>
        <v>0</v>
      </c>
      <c r="I133" s="8"/>
    </row>
    <row r="134" spans="1:9" s="4" customFormat="1" ht="28.5">
      <c r="A134" s="83" t="s">
        <v>107</v>
      </c>
      <c r="B134" s="52" t="s">
        <v>108</v>
      </c>
      <c r="C134" s="46">
        <v>5000</v>
      </c>
      <c r="D134" s="47">
        <v>1</v>
      </c>
      <c r="E134" s="86">
        <f t="shared" si="11"/>
        <v>5000</v>
      </c>
      <c r="F134" s="86">
        <f>F135</f>
        <v>3332.9500000000003</v>
      </c>
      <c r="G134" s="87">
        <f t="shared" si="10"/>
        <v>1667.0499999999997</v>
      </c>
      <c r="I134" s="8"/>
    </row>
    <row r="135" spans="1:9" s="4" customFormat="1" ht="60">
      <c r="A135" s="83"/>
      <c r="B135" s="68" t="s">
        <v>112</v>
      </c>
      <c r="C135" s="46"/>
      <c r="D135" s="47"/>
      <c r="E135" s="86"/>
      <c r="F135" s="61">
        <f>1860+161+120+95+342+258+23.8+100+169+36+168.15</f>
        <v>3332.9500000000003</v>
      </c>
      <c r="G135" s="87"/>
      <c r="I135" s="8"/>
    </row>
    <row r="136" spans="1:9" s="4" customFormat="1" ht="28.5">
      <c r="A136" s="83" t="s">
        <v>109</v>
      </c>
      <c r="B136" s="52" t="s">
        <v>110</v>
      </c>
      <c r="C136" s="46">
        <v>10000</v>
      </c>
      <c r="D136" s="47">
        <v>1</v>
      </c>
      <c r="E136" s="86">
        <f t="shared" si="11"/>
        <v>10000</v>
      </c>
      <c r="F136" s="86">
        <f>3990+1500</f>
        <v>5490</v>
      </c>
      <c r="G136" s="87">
        <f t="shared" si="10"/>
        <v>4510</v>
      </c>
      <c r="I136" s="8"/>
    </row>
    <row r="137" spans="1:9" s="4" customFormat="1" ht="57">
      <c r="A137" s="106" t="s">
        <v>111</v>
      </c>
      <c r="B137" s="52" t="s">
        <v>64</v>
      </c>
      <c r="C137" s="47"/>
      <c r="D137" s="47"/>
      <c r="E137" s="86">
        <v>202858.23999999999</v>
      </c>
      <c r="F137" s="86">
        <f>SUM(F138:F147)</f>
        <v>181050.84999999998</v>
      </c>
      <c r="G137" s="87">
        <f>E137-F137</f>
        <v>21807.390000000014</v>
      </c>
      <c r="I137" s="8"/>
    </row>
    <row r="138" spans="1:9" s="4" customFormat="1" ht="49.5" customHeight="1">
      <c r="A138" s="83"/>
      <c r="B138" s="48" t="s">
        <v>65</v>
      </c>
      <c r="C138" s="6"/>
      <c r="D138" s="78"/>
      <c r="E138" s="86">
        <f t="shared" ref="E138" si="12">C138*D138</f>
        <v>0</v>
      </c>
      <c r="F138" s="61">
        <f>5650*1.271</f>
        <v>7181.15</v>
      </c>
      <c r="G138" s="105"/>
      <c r="I138" s="8"/>
    </row>
    <row r="139" spans="1:9" s="4" customFormat="1" ht="45.75" customHeight="1">
      <c r="A139" s="83"/>
      <c r="B139" s="48" t="s">
        <v>65</v>
      </c>
      <c r="C139" s="49"/>
      <c r="D139" s="79"/>
      <c r="E139" s="104"/>
      <c r="F139" s="61">
        <f>4000*1.271</f>
        <v>5084</v>
      </c>
      <c r="G139" s="105"/>
      <c r="I139" s="8"/>
    </row>
    <row r="140" spans="1:9" s="4" customFormat="1" ht="45.75" customHeight="1">
      <c r="A140" s="83"/>
      <c r="B140" s="48" t="s">
        <v>124</v>
      </c>
      <c r="C140" s="49"/>
      <c r="D140" s="79"/>
      <c r="E140" s="104"/>
      <c r="F140" s="61">
        <f>52000*1.271</f>
        <v>66092</v>
      </c>
      <c r="G140" s="105"/>
      <c r="I140" s="8"/>
    </row>
    <row r="141" spans="1:9" s="4" customFormat="1" ht="90">
      <c r="A141" s="83"/>
      <c r="B141" s="48" t="s">
        <v>114</v>
      </c>
      <c r="C141" s="49"/>
      <c r="D141" s="79"/>
      <c r="E141" s="104"/>
      <c r="F141" s="45">
        <f>5000*1.271</f>
        <v>6354.9999999999991</v>
      </c>
      <c r="G141" s="105"/>
      <c r="I141" s="8"/>
    </row>
    <row r="142" spans="1:9" s="4" customFormat="1">
      <c r="A142" s="51"/>
      <c r="B142" s="68" t="s">
        <v>92</v>
      </c>
      <c r="C142" s="79"/>
      <c r="D142" s="79"/>
      <c r="E142" s="45"/>
      <c r="F142" s="45">
        <v>7800</v>
      </c>
      <c r="G142" s="63"/>
      <c r="I142" s="8"/>
    </row>
    <row r="143" spans="1:9" s="4" customFormat="1" ht="123.75" customHeight="1">
      <c r="A143" s="51"/>
      <c r="B143" s="68" t="s">
        <v>115</v>
      </c>
      <c r="C143" s="79"/>
      <c r="D143" s="79"/>
      <c r="E143" s="45"/>
      <c r="F143" s="45">
        <f>3700*1.271</f>
        <v>4702.7</v>
      </c>
      <c r="G143" s="63"/>
      <c r="I143" s="8"/>
    </row>
    <row r="144" spans="1:9" s="4" customFormat="1" ht="30">
      <c r="A144" s="51"/>
      <c r="B144" s="68" t="s">
        <v>116</v>
      </c>
      <c r="C144" s="48"/>
      <c r="D144" s="78"/>
      <c r="E144" s="61"/>
      <c r="F144" s="61">
        <f>9758+1815+325+163+491+2148+916</f>
        <v>15616</v>
      </c>
      <c r="G144" s="62"/>
      <c r="I144" s="8"/>
    </row>
    <row r="145" spans="1:10" s="4" customFormat="1" ht="30">
      <c r="A145" s="51"/>
      <c r="B145" s="68" t="s">
        <v>89</v>
      </c>
      <c r="C145" s="79"/>
      <c r="D145" s="79"/>
      <c r="E145" s="45"/>
      <c r="F145" s="45">
        <v>56900</v>
      </c>
      <c r="G145" s="63"/>
    </row>
    <row r="146" spans="1:10" s="4" customFormat="1" ht="30">
      <c r="A146" s="51"/>
      <c r="B146" s="68" t="s">
        <v>113</v>
      </c>
      <c r="C146" s="79"/>
      <c r="D146" s="79"/>
      <c r="E146" s="45"/>
      <c r="F146" s="45">
        <v>7000</v>
      </c>
      <c r="G146" s="63"/>
    </row>
    <row r="147" spans="1:10" s="4" customFormat="1">
      <c r="A147" s="51"/>
      <c r="B147" s="68" t="s">
        <v>93</v>
      </c>
      <c r="C147" s="79"/>
      <c r="D147" s="79"/>
      <c r="E147" s="45"/>
      <c r="F147" s="45">
        <f>2140+660+940+580</f>
        <v>4320</v>
      </c>
      <c r="G147" s="63"/>
    </row>
    <row r="148" spans="1:10">
      <c r="A148" s="106" t="s">
        <v>36</v>
      </c>
      <c r="B148" s="64" t="s">
        <v>57</v>
      </c>
      <c r="C148" s="65"/>
      <c r="D148" s="65"/>
      <c r="E148" s="46">
        <f>E149+E153-1.09</f>
        <v>87501.010000000009</v>
      </c>
      <c r="F148" s="46">
        <f>SUM(F150:F153)</f>
        <v>38729.22</v>
      </c>
      <c r="G148" s="66">
        <f>E148-F148</f>
        <v>48771.790000000008</v>
      </c>
      <c r="H148" s="3"/>
    </row>
    <row r="149" spans="1:10" ht="30">
      <c r="A149" s="51"/>
      <c r="B149" s="68" t="s">
        <v>58</v>
      </c>
      <c r="C149" s="72"/>
      <c r="D149" s="73"/>
      <c r="E149" s="45">
        <f>45047.93+26747.16-268.26+12975.27</f>
        <v>84502.1</v>
      </c>
      <c r="F149" s="45"/>
      <c r="G149" s="62"/>
      <c r="H149" s="3"/>
      <c r="I149" s="67"/>
    </row>
    <row r="150" spans="1:10">
      <c r="A150" s="51"/>
      <c r="B150" s="68" t="s">
        <v>59</v>
      </c>
      <c r="C150" s="72"/>
      <c r="D150" s="72"/>
      <c r="E150" s="45"/>
      <c r="F150" s="45">
        <v>30000</v>
      </c>
      <c r="G150" s="63"/>
    </row>
    <row r="151" spans="1:10">
      <c r="A151" s="51"/>
      <c r="B151" s="68" t="s">
        <v>129</v>
      </c>
      <c r="C151" s="77"/>
      <c r="D151" s="77"/>
      <c r="E151" s="45"/>
      <c r="F151" s="45">
        <v>5018</v>
      </c>
      <c r="G151" s="63"/>
    </row>
    <row r="152" spans="1:10">
      <c r="A152" s="51"/>
      <c r="B152" s="68" t="s">
        <v>128</v>
      </c>
      <c r="C152" s="72"/>
      <c r="D152" s="72"/>
      <c r="E152" s="45"/>
      <c r="F152" s="45">
        <v>1584.22</v>
      </c>
      <c r="G152" s="63"/>
    </row>
    <row r="153" spans="1:10">
      <c r="A153" s="51"/>
      <c r="B153" s="68" t="s">
        <v>60</v>
      </c>
      <c r="C153" s="75"/>
      <c r="D153" s="74">
        <v>0.06</v>
      </c>
      <c r="E153" s="61">
        <v>3000</v>
      </c>
      <c r="F153" s="61">
        <v>2127</v>
      </c>
      <c r="G153" s="62">
        <f>E153-F153</f>
        <v>873</v>
      </c>
      <c r="I153" s="3"/>
    </row>
    <row r="154" spans="1:10">
      <c r="A154" s="51"/>
      <c r="B154" s="68"/>
      <c r="C154" s="79"/>
      <c r="D154" s="73"/>
      <c r="E154" s="45"/>
      <c r="F154" s="45"/>
      <c r="G154" s="63"/>
      <c r="I154" s="3"/>
    </row>
    <row r="155" spans="1:10" ht="15.75">
      <c r="A155" s="136"/>
      <c r="B155" s="137" t="s">
        <v>10</v>
      </c>
      <c r="C155" s="33"/>
      <c r="D155" s="33"/>
      <c r="E155" s="138">
        <f>SUM(E39+E65+E74+E87+E100+E116+E122+E124+E127+E128+E130+E137+E52+E69+E129)+E148+E131+E132+E133+E134+E136</f>
        <v>2534313.0099999998</v>
      </c>
      <c r="F155" s="138">
        <f>SUM(F39+F65+F74+F87+F100+F116+F122+F124+F127+F128+F130+F137+F52+F69+F129)+F148+F131+F132+F133+F134+F136</f>
        <v>2441778.2231800002</v>
      </c>
      <c r="G155" s="138">
        <f>SUM(G39+G65+G74+G87+G100+G116+G122+G124+G127+G128+G130+G137+G52+G69+G129)+G148+G131+G132+G133+G134+G136</f>
        <v>92534.786819999892</v>
      </c>
      <c r="H155" s="8"/>
      <c r="I155" s="3"/>
    </row>
    <row r="156" spans="1:10" ht="11.25" customHeight="1">
      <c r="A156" s="136"/>
      <c r="B156" s="137"/>
      <c r="C156" s="34"/>
      <c r="D156" s="35"/>
      <c r="E156" s="139"/>
      <c r="F156" s="139"/>
      <c r="G156" s="139"/>
      <c r="H156" s="4"/>
      <c r="I156" s="3"/>
      <c r="J156" s="3"/>
    </row>
    <row r="157" spans="1:10" ht="15" customHeight="1">
      <c r="A157" s="24"/>
      <c r="B157" s="25"/>
      <c r="C157" s="25"/>
      <c r="D157" s="26"/>
      <c r="E157" s="27"/>
      <c r="F157" s="27"/>
      <c r="G157" s="27"/>
      <c r="H157" s="8"/>
      <c r="I157" s="3"/>
    </row>
    <row r="158" spans="1:10" ht="28.5" customHeight="1">
      <c r="A158" s="24"/>
      <c r="B158" s="2" t="s">
        <v>11</v>
      </c>
      <c r="C158" s="2"/>
      <c r="D158" s="15"/>
      <c r="E158" s="29"/>
      <c r="F158" s="29" t="s">
        <v>26</v>
      </c>
      <c r="G158" s="30"/>
      <c r="H158" s="3"/>
      <c r="I158" s="3"/>
      <c r="J158" s="3"/>
    </row>
    <row r="159" spans="1:10" ht="15.75">
      <c r="A159" s="24"/>
      <c r="B159" s="2"/>
      <c r="C159" s="2"/>
      <c r="D159" s="15"/>
      <c r="E159" s="29"/>
      <c r="F159" s="29"/>
      <c r="G159" s="30"/>
      <c r="I159" s="3"/>
      <c r="J159" s="3"/>
    </row>
    <row r="160" spans="1:10" ht="15.75">
      <c r="A160" s="24"/>
      <c r="B160" s="2"/>
      <c r="C160" s="2"/>
      <c r="D160" s="15"/>
      <c r="E160" s="29"/>
      <c r="F160" s="29"/>
      <c r="G160" s="30"/>
      <c r="I160" s="3"/>
      <c r="J160" s="3"/>
    </row>
    <row r="161" spans="1:10" ht="15.75">
      <c r="A161" s="24"/>
      <c r="B161" s="2" t="s">
        <v>12</v>
      </c>
      <c r="C161" s="2"/>
      <c r="D161" s="15"/>
      <c r="E161" s="58"/>
      <c r="F161" s="29" t="s">
        <v>13</v>
      </c>
      <c r="G161" s="31"/>
      <c r="I161" s="3"/>
      <c r="J161" s="3"/>
    </row>
    <row r="162" spans="1:10">
      <c r="A162" s="7"/>
      <c r="B162" s="70"/>
      <c r="C162" s="9"/>
      <c r="D162" s="59"/>
      <c r="E162" s="32"/>
      <c r="F162" s="31"/>
      <c r="G162" s="31"/>
    </row>
    <row r="163" spans="1:10">
      <c r="A163" s="7"/>
      <c r="B163" s="70"/>
      <c r="C163" s="9"/>
      <c r="D163" s="59"/>
      <c r="E163" s="31"/>
      <c r="F163" s="31"/>
      <c r="G163" s="30"/>
      <c r="I163" s="3"/>
    </row>
    <row r="164" spans="1:10">
      <c r="A164" s="7"/>
      <c r="B164" s="71"/>
      <c r="C164" s="20"/>
      <c r="D164" s="60"/>
      <c r="G164" s="3"/>
    </row>
    <row r="165" spans="1:10">
      <c r="A165" s="7"/>
      <c r="G165" s="3"/>
    </row>
    <row r="166" spans="1:10">
      <c r="A166" s="9"/>
      <c r="B166" s="21"/>
    </row>
    <row r="167" spans="1:10">
      <c r="A167" s="70"/>
      <c r="B167" s="21"/>
    </row>
    <row r="168" spans="1:10">
      <c r="A168" s="70"/>
      <c r="B168" s="53"/>
    </row>
    <row r="169" spans="1:10">
      <c r="A169" s="71"/>
      <c r="C169" s="22"/>
      <c r="D169" s="10"/>
    </row>
    <row r="170" spans="1:10">
      <c r="A170" s="1"/>
      <c r="B170" s="4"/>
      <c r="C170" s="22"/>
      <c r="D170" s="10"/>
    </row>
    <row r="171" spans="1:10">
      <c r="B171" s="4"/>
      <c r="C171" s="22"/>
      <c r="D171" s="10"/>
      <c r="E171" s="3"/>
      <c r="F171" s="3"/>
    </row>
    <row r="172" spans="1:10">
      <c r="B172" s="4"/>
      <c r="C172" s="22"/>
      <c r="D172" s="10"/>
    </row>
    <row r="173" spans="1:10">
      <c r="B173" s="4"/>
      <c r="C173" s="22"/>
      <c r="D173" s="10"/>
      <c r="E173" s="4"/>
      <c r="F173" s="4"/>
      <c r="G173" s="4"/>
      <c r="H173" s="4"/>
    </row>
    <row r="174" spans="1:10">
      <c r="B174" s="4"/>
      <c r="C174" s="22"/>
      <c r="D174" s="10"/>
      <c r="E174" s="8"/>
      <c r="F174" s="4"/>
      <c r="G174" s="4"/>
      <c r="H174" s="4"/>
    </row>
    <row r="175" spans="1:10">
      <c r="B175" s="4"/>
      <c r="C175" s="22"/>
      <c r="D175" s="10"/>
      <c r="E175" s="3"/>
      <c r="F175" s="3"/>
    </row>
    <row r="176" spans="1:10">
      <c r="B176" s="4"/>
      <c r="C176" s="22"/>
      <c r="D176" s="10"/>
      <c r="E176" s="4"/>
      <c r="F176" s="4"/>
      <c r="G176" s="4"/>
      <c r="H176" s="4"/>
    </row>
    <row r="177" spans="2:17">
      <c r="B177" s="4"/>
      <c r="C177" s="22"/>
      <c r="D177" s="10"/>
    </row>
    <row r="178" spans="2:17">
      <c r="B178" s="4"/>
      <c r="C178" s="23"/>
      <c r="D178" s="10"/>
      <c r="I178" s="4"/>
      <c r="J178" s="4"/>
      <c r="K178" s="4"/>
      <c r="L178" s="4"/>
      <c r="M178" s="4"/>
      <c r="N178" s="4"/>
      <c r="O178" s="4"/>
      <c r="P178" s="4"/>
      <c r="Q178" s="4"/>
    </row>
    <row r="179" spans="2:17">
      <c r="B179" s="4"/>
      <c r="C179" s="17"/>
      <c r="D179" s="10"/>
      <c r="I179" s="4"/>
      <c r="J179" s="4"/>
      <c r="K179" s="4"/>
      <c r="L179" s="4"/>
      <c r="M179" s="4"/>
      <c r="N179" s="4"/>
      <c r="O179" s="4"/>
      <c r="P179" s="4"/>
      <c r="Q179" s="4"/>
    </row>
    <row r="180" spans="2:17">
      <c r="B180" s="4"/>
      <c r="C180" s="22"/>
      <c r="D180" s="10"/>
      <c r="E180" s="3"/>
      <c r="G180" s="3"/>
    </row>
    <row r="181" spans="2:17">
      <c r="B181" s="4"/>
      <c r="C181" s="17"/>
      <c r="D181" s="10"/>
      <c r="I181" s="4"/>
      <c r="J181" s="4"/>
      <c r="K181" s="4"/>
    </row>
    <row r="182" spans="2:17">
      <c r="B182" s="4"/>
      <c r="C182" s="17"/>
      <c r="D182" s="10"/>
    </row>
    <row r="183" spans="2:17">
      <c r="B183" s="4"/>
      <c r="C183" s="17"/>
      <c r="D183" s="10"/>
    </row>
    <row r="184" spans="2:17">
      <c r="B184" s="4"/>
    </row>
    <row r="185" spans="2:17">
      <c r="B185" s="4"/>
      <c r="C185" s="17"/>
      <c r="D185" s="10"/>
      <c r="E185" s="4"/>
    </row>
    <row r="186" spans="2:17">
      <c r="B186" s="4"/>
      <c r="C186" s="17"/>
      <c r="D186" s="10"/>
      <c r="E186" s="4"/>
    </row>
    <row r="187" spans="2:17">
      <c r="B187" s="4"/>
    </row>
    <row r="188" spans="2:17">
      <c r="B188" s="4"/>
    </row>
    <row r="189" spans="2:17">
      <c r="B189" s="4"/>
    </row>
    <row r="190" spans="2:17">
      <c r="B190" s="4"/>
    </row>
    <row r="191" spans="2:17">
      <c r="B191" s="4"/>
    </row>
    <row r="192" spans="2:17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</sheetData>
  <mergeCells count="32">
    <mergeCell ref="C5:G8"/>
    <mergeCell ref="A21:G21"/>
    <mergeCell ref="A1:G1"/>
    <mergeCell ref="A2:G2"/>
    <mergeCell ref="F4:G4"/>
    <mergeCell ref="A17:D17"/>
    <mergeCell ref="A16:D16"/>
    <mergeCell ref="F9:G9"/>
    <mergeCell ref="A11:G11"/>
    <mergeCell ref="A12:G12"/>
    <mergeCell ref="A13:G13"/>
    <mergeCell ref="A15:G15"/>
    <mergeCell ref="A20:G20"/>
    <mergeCell ref="A35:D35"/>
    <mergeCell ref="A38:G38"/>
    <mergeCell ref="A155:A156"/>
    <mergeCell ref="B155:B156"/>
    <mergeCell ref="E155:E156"/>
    <mergeCell ref="F155:F156"/>
    <mergeCell ref="G155:G156"/>
    <mergeCell ref="B33:G33"/>
    <mergeCell ref="A22:A23"/>
    <mergeCell ref="G22:G23"/>
    <mergeCell ref="B24:G24"/>
    <mergeCell ref="A29:D29"/>
    <mergeCell ref="B30:G30"/>
    <mergeCell ref="A32:D32"/>
    <mergeCell ref="B22:B23"/>
    <mergeCell ref="C22:C23"/>
    <mergeCell ref="D22:D23"/>
    <mergeCell ref="E22:E23"/>
    <mergeCell ref="F22:F23"/>
  </mergeCells>
  <pageMargins left="0.70866141732283472" right="0.51181102362204722" top="0.55118110236220474" bottom="0.55118110236220474" header="0.31496062992125984" footer="0.31496062992125984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tabSelected="1" workbookViewId="0">
      <selection activeCell="B8" sqref="B8"/>
    </sheetView>
  </sheetViews>
  <sheetFormatPr defaultRowHeight="15"/>
  <cols>
    <col min="1" max="1" width="7.28515625" customWidth="1"/>
    <col min="2" max="2" width="26.85546875" customWidth="1"/>
    <col min="3" max="3" width="12.7109375" style="16" customWidth="1"/>
    <col min="4" max="4" width="13.42578125" style="14" customWidth="1"/>
    <col min="5" max="5" width="15.140625" customWidth="1"/>
    <col min="6" max="6" width="19.42578125" customWidth="1"/>
    <col min="7" max="7" width="21.140625" customWidth="1"/>
    <col min="8" max="8" width="18" customWidth="1"/>
    <col min="9" max="9" width="20" customWidth="1"/>
    <col min="10" max="10" width="17.42578125" customWidth="1"/>
    <col min="11" max="11" width="12.42578125" customWidth="1"/>
  </cols>
  <sheetData>
    <row r="1" spans="1:7" ht="18.75">
      <c r="A1" s="144" t="s">
        <v>20</v>
      </c>
      <c r="B1" s="144"/>
      <c r="C1" s="144"/>
      <c r="D1" s="144"/>
      <c r="E1" s="144"/>
      <c r="F1" s="144"/>
      <c r="G1" s="144"/>
    </row>
    <row r="2" spans="1:7">
      <c r="A2" s="145" t="s">
        <v>22</v>
      </c>
      <c r="B2" s="145"/>
      <c r="C2" s="145"/>
      <c r="D2" s="145"/>
      <c r="E2" s="145"/>
      <c r="F2" s="145"/>
      <c r="G2" s="145"/>
    </row>
    <row r="4" spans="1:7">
      <c r="B4" s="153" t="s">
        <v>142</v>
      </c>
      <c r="C4" s="154"/>
      <c r="D4" s="154"/>
      <c r="E4" s="154"/>
      <c r="F4" s="154"/>
      <c r="G4" s="154"/>
    </row>
    <row r="5" spans="1:7">
      <c r="B5" s="154"/>
      <c r="C5" s="154"/>
      <c r="D5" s="154"/>
      <c r="E5" s="154"/>
      <c r="F5" s="154"/>
      <c r="G5" s="154"/>
    </row>
    <row r="6" spans="1:7">
      <c r="B6" s="154"/>
      <c r="C6" s="154"/>
      <c r="D6" s="154"/>
      <c r="E6" s="154"/>
      <c r="F6" s="154"/>
      <c r="G6" s="154"/>
    </row>
    <row r="7" spans="1:7">
      <c r="B7" s="154"/>
      <c r="C7" s="154"/>
      <c r="D7" s="154"/>
      <c r="E7" s="154"/>
      <c r="F7" s="154"/>
      <c r="G7" s="154"/>
    </row>
    <row r="8" spans="1:7">
      <c r="B8" s="160"/>
    </row>
    <row r="9" spans="1:7" ht="15.75">
      <c r="A9" s="148" t="s">
        <v>19</v>
      </c>
      <c r="B9" s="148"/>
      <c r="C9" s="148"/>
      <c r="D9" s="148"/>
      <c r="E9" s="148"/>
      <c r="F9" s="148"/>
      <c r="G9" s="148"/>
    </row>
    <row r="10" spans="1:7" ht="15.75">
      <c r="A10" s="149" t="s">
        <v>23</v>
      </c>
      <c r="B10" s="149"/>
      <c r="C10" s="149"/>
      <c r="D10" s="149"/>
      <c r="E10" s="149"/>
      <c r="F10" s="149"/>
      <c r="G10" s="149"/>
    </row>
    <row r="11" spans="1:7" ht="15.75">
      <c r="A11" s="149" t="s">
        <v>132</v>
      </c>
      <c r="B11" s="149"/>
      <c r="C11" s="149"/>
      <c r="D11" s="149"/>
      <c r="E11" s="149"/>
      <c r="F11" s="149"/>
      <c r="G11" s="149"/>
    </row>
    <row r="12" spans="1:7" ht="15.75">
      <c r="A12" s="40"/>
      <c r="B12" s="40"/>
      <c r="C12" s="40"/>
      <c r="D12" s="40"/>
      <c r="E12" s="40"/>
      <c r="F12" s="40"/>
      <c r="G12" s="40"/>
    </row>
    <row r="13" spans="1:7" ht="15.75">
      <c r="A13" s="147"/>
      <c r="B13" s="147"/>
      <c r="C13" s="147"/>
      <c r="D13" s="147"/>
      <c r="E13" s="147"/>
      <c r="F13" s="147"/>
      <c r="G13" s="147"/>
    </row>
    <row r="14" spans="1:7" ht="15.75">
      <c r="A14" s="113" t="s">
        <v>136</v>
      </c>
      <c r="B14" s="113"/>
      <c r="C14" s="113"/>
      <c r="D14" s="113"/>
      <c r="E14" s="114">
        <v>345680.6</v>
      </c>
      <c r="F14" s="29" t="s">
        <v>135</v>
      </c>
      <c r="G14" s="4"/>
    </row>
    <row r="15" spans="1:7" ht="15.75">
      <c r="A15" s="113" t="s">
        <v>138</v>
      </c>
      <c r="B15" s="113"/>
      <c r="C15" s="113"/>
      <c r="D15" s="113"/>
      <c r="E15" s="114">
        <v>537025.05000000005</v>
      </c>
      <c r="F15" s="29" t="s">
        <v>135</v>
      </c>
      <c r="G15" s="5"/>
    </row>
    <row r="16" spans="1:7" ht="19.5" customHeight="1">
      <c r="A16" s="5"/>
      <c r="B16" s="5"/>
      <c r="C16" s="18"/>
      <c r="D16" s="5"/>
      <c r="E16" s="5"/>
      <c r="F16" s="5"/>
      <c r="G16" s="5"/>
    </row>
    <row r="17" spans="1:9" ht="19.5" customHeight="1">
      <c r="A17" s="150" t="s">
        <v>24</v>
      </c>
      <c r="B17" s="151"/>
      <c r="C17" s="151"/>
      <c r="D17" s="151"/>
      <c r="E17" s="151"/>
      <c r="F17" s="151"/>
      <c r="G17" s="152"/>
    </row>
    <row r="18" spans="1:9" ht="24.75" customHeight="1">
      <c r="A18" s="142" t="s">
        <v>2</v>
      </c>
      <c r="B18" s="143"/>
      <c r="C18" s="143"/>
      <c r="D18" s="143"/>
      <c r="E18" s="143"/>
      <c r="F18" s="143"/>
      <c r="G18" s="143"/>
    </row>
    <row r="19" spans="1:9" ht="30" customHeight="1">
      <c r="A19" s="124" t="s">
        <v>0</v>
      </c>
      <c r="B19" s="124" t="s">
        <v>1</v>
      </c>
      <c r="C19" s="131" t="s">
        <v>15</v>
      </c>
      <c r="D19" s="125" t="s">
        <v>17</v>
      </c>
      <c r="E19" s="124" t="s">
        <v>131</v>
      </c>
      <c r="F19" s="124" t="s">
        <v>27</v>
      </c>
      <c r="G19" s="125" t="s">
        <v>28</v>
      </c>
    </row>
    <row r="20" spans="1:9" ht="18" customHeight="1">
      <c r="A20" s="124"/>
      <c r="B20" s="124"/>
      <c r="C20" s="132"/>
      <c r="D20" s="126"/>
      <c r="E20" s="124"/>
      <c r="F20" s="124"/>
      <c r="G20" s="126"/>
    </row>
    <row r="21" spans="1:9" ht="30">
      <c r="A21" s="28" t="s">
        <v>3</v>
      </c>
      <c r="B21" s="48" t="s">
        <v>94</v>
      </c>
      <c r="C21" s="44">
        <v>2</v>
      </c>
      <c r="D21" s="76">
        <v>12</v>
      </c>
      <c r="E21" s="49">
        <f>C21*13493.4*D21</f>
        <v>323841.59999999998</v>
      </c>
      <c r="F21" s="6">
        <v>345325.9</v>
      </c>
      <c r="G21" s="45">
        <f>E21-F21</f>
        <v>-21484.300000000047</v>
      </c>
      <c r="I21" s="3"/>
    </row>
    <row r="22" spans="1:9">
      <c r="A22" s="28" t="s">
        <v>4</v>
      </c>
      <c r="B22" s="157" t="s">
        <v>137</v>
      </c>
      <c r="C22" s="158"/>
      <c r="D22" s="159"/>
      <c r="E22" s="49">
        <v>34252.85</v>
      </c>
      <c r="F22" s="6"/>
      <c r="G22" s="45"/>
      <c r="I22" s="3"/>
    </row>
    <row r="23" spans="1:9" ht="20.25" customHeight="1">
      <c r="A23" s="41"/>
      <c r="B23" s="52" t="s">
        <v>8</v>
      </c>
      <c r="C23" s="42"/>
      <c r="D23" s="37"/>
      <c r="E23" s="36">
        <f>E21+E22+E14</f>
        <v>703775.04999999993</v>
      </c>
      <c r="F23" s="46">
        <f>F21</f>
        <v>345325.9</v>
      </c>
      <c r="G23" s="36"/>
      <c r="H23" s="3"/>
    </row>
    <row r="24" spans="1:9">
      <c r="A24" s="11"/>
      <c r="B24" s="12"/>
      <c r="C24" s="19"/>
      <c r="D24" s="12"/>
      <c r="E24" s="12"/>
      <c r="F24" s="12"/>
      <c r="G24" s="12"/>
    </row>
    <row r="25" spans="1:9" ht="26.25" customHeight="1">
      <c r="A25" s="133" t="s">
        <v>9</v>
      </c>
      <c r="B25" s="134"/>
      <c r="C25" s="134"/>
      <c r="D25" s="134"/>
      <c r="E25" s="134"/>
      <c r="F25" s="134"/>
      <c r="G25" s="135"/>
    </row>
    <row r="26" spans="1:9" ht="26.25" customHeight="1">
      <c r="A26" s="124" t="s">
        <v>0</v>
      </c>
      <c r="B26" s="124" t="s">
        <v>1</v>
      </c>
      <c r="C26" s="131" t="s">
        <v>15</v>
      </c>
      <c r="D26" s="125" t="s">
        <v>17</v>
      </c>
      <c r="E26" s="124" t="s">
        <v>97</v>
      </c>
      <c r="F26" s="124" t="s">
        <v>18</v>
      </c>
      <c r="G26" s="125" t="s">
        <v>29</v>
      </c>
    </row>
    <row r="27" spans="1:9" ht="37.5" customHeight="1">
      <c r="A27" s="124"/>
      <c r="B27" s="124"/>
      <c r="C27" s="132"/>
      <c r="D27" s="126"/>
      <c r="E27" s="124"/>
      <c r="F27" s="124"/>
      <c r="G27" s="126"/>
    </row>
    <row r="28" spans="1:9" ht="31.5" customHeight="1">
      <c r="A28" s="115" t="s">
        <v>25</v>
      </c>
      <c r="B28" s="120" t="s">
        <v>133</v>
      </c>
      <c r="C28" s="116"/>
      <c r="D28" s="35"/>
      <c r="E28" s="85">
        <v>351887.52</v>
      </c>
      <c r="F28" s="117">
        <v>0</v>
      </c>
      <c r="G28" s="118"/>
    </row>
    <row r="29" spans="1:9" ht="36" customHeight="1">
      <c r="A29" s="84" t="s">
        <v>4</v>
      </c>
      <c r="B29" s="120" t="s">
        <v>134</v>
      </c>
      <c r="C29" s="110"/>
      <c r="D29" s="110"/>
      <c r="E29" s="85">
        <v>351887.53</v>
      </c>
      <c r="F29" s="54">
        <v>0</v>
      </c>
      <c r="G29" s="57"/>
    </row>
    <row r="30" spans="1:9" ht="31.5">
      <c r="A30" s="119" t="s">
        <v>5</v>
      </c>
      <c r="B30" s="56" t="s">
        <v>139</v>
      </c>
      <c r="C30" s="110"/>
      <c r="D30" s="110"/>
      <c r="E30" s="54"/>
      <c r="F30" s="55">
        <v>166750</v>
      </c>
      <c r="G30" s="57"/>
    </row>
    <row r="31" spans="1:9" ht="15.75">
      <c r="A31" s="136"/>
      <c r="B31" s="137" t="s">
        <v>10</v>
      </c>
      <c r="C31" s="33"/>
      <c r="D31" s="33"/>
      <c r="E31" s="138">
        <f>E29+E28</f>
        <v>703775.05</v>
      </c>
      <c r="F31" s="138">
        <f>F29+F28+F30</f>
        <v>166750</v>
      </c>
      <c r="G31" s="138">
        <f>E31-F31</f>
        <v>537025.05000000005</v>
      </c>
      <c r="H31" s="4"/>
    </row>
    <row r="32" spans="1:9" ht="11.25" customHeight="1">
      <c r="A32" s="136"/>
      <c r="B32" s="137"/>
      <c r="C32" s="34"/>
      <c r="D32" s="35"/>
      <c r="E32" s="139"/>
      <c r="F32" s="139"/>
      <c r="G32" s="139"/>
      <c r="H32" s="8"/>
    </row>
    <row r="33" spans="1:9">
      <c r="A33" s="24"/>
      <c r="B33" s="25"/>
      <c r="C33" s="25"/>
      <c r="D33" s="26"/>
      <c r="E33" s="27"/>
      <c r="F33" s="27"/>
      <c r="G33" s="27"/>
      <c r="H33" s="4"/>
    </row>
    <row r="34" spans="1:9">
      <c r="A34" s="7"/>
      <c r="B34" s="4"/>
      <c r="C34" s="17"/>
      <c r="D34" s="10"/>
      <c r="E34" s="8"/>
      <c r="F34" s="4"/>
      <c r="G34" s="8"/>
      <c r="H34" s="3"/>
    </row>
    <row r="35" spans="1:9" ht="15.75">
      <c r="A35" s="7"/>
      <c r="B35" s="2" t="s">
        <v>11</v>
      </c>
      <c r="C35" s="2"/>
      <c r="D35" s="15"/>
      <c r="E35" s="29"/>
      <c r="F35" s="29" t="s">
        <v>26</v>
      </c>
      <c r="G35" s="30"/>
      <c r="I35" s="3"/>
    </row>
    <row r="36" spans="1:9" ht="15.75">
      <c r="A36" s="7"/>
      <c r="B36" s="2"/>
      <c r="C36" s="2"/>
      <c r="D36" s="15"/>
      <c r="E36" s="29"/>
      <c r="F36" s="29"/>
      <c r="G36" s="31"/>
    </row>
    <row r="37" spans="1:9" ht="15.75">
      <c r="A37" s="7"/>
      <c r="B37" s="2"/>
      <c r="C37" s="2"/>
      <c r="D37" s="15"/>
      <c r="E37" s="29"/>
      <c r="F37" s="29"/>
      <c r="G37" s="30"/>
    </row>
    <row r="38" spans="1:9" ht="15.75">
      <c r="A38" s="9"/>
      <c r="B38" s="2" t="s">
        <v>12</v>
      </c>
      <c r="C38" s="2"/>
      <c r="D38" s="15"/>
      <c r="E38" s="40"/>
      <c r="F38" s="29" t="s">
        <v>13</v>
      </c>
      <c r="G38" s="31"/>
    </row>
    <row r="39" spans="1:9">
      <c r="A39" s="155"/>
      <c r="B39" s="155"/>
      <c r="C39" s="9"/>
      <c r="D39" s="39"/>
      <c r="E39" s="32"/>
      <c r="F39" s="31"/>
      <c r="G39" s="31"/>
    </row>
    <row r="40" spans="1:9">
      <c r="A40" s="155"/>
      <c r="B40" s="155"/>
      <c r="C40" s="9"/>
      <c r="D40" s="39"/>
      <c r="E40" s="31"/>
      <c r="F40" s="31"/>
      <c r="G40" s="30"/>
    </row>
    <row r="41" spans="1:9">
      <c r="A41" s="156"/>
      <c r="B41" s="156"/>
      <c r="C41" s="20"/>
      <c r="D41" s="38"/>
      <c r="G41" s="3"/>
    </row>
    <row r="42" spans="1:9">
      <c r="A42" s="1"/>
      <c r="G42" s="3"/>
    </row>
    <row r="43" spans="1:9">
      <c r="B43" s="21"/>
    </row>
    <row r="44" spans="1:9">
      <c r="B44" s="21"/>
    </row>
    <row r="45" spans="1:9">
      <c r="B45" s="43"/>
    </row>
    <row r="46" spans="1:9">
      <c r="C46" s="22"/>
      <c r="D46" s="10"/>
    </row>
    <row r="47" spans="1:9">
      <c r="B47" s="4"/>
      <c r="C47" s="22"/>
      <c r="D47" s="10"/>
    </row>
    <row r="48" spans="1:9">
      <c r="B48" s="4"/>
      <c r="C48" s="22"/>
      <c r="D48" s="10"/>
    </row>
    <row r="49" spans="2:17">
      <c r="B49" s="4"/>
      <c r="C49" s="22"/>
      <c r="D49" s="10"/>
    </row>
    <row r="50" spans="2:17">
      <c r="B50" s="4"/>
      <c r="C50" s="22"/>
      <c r="D50" s="10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2:17">
      <c r="B51" s="4"/>
      <c r="C51" s="22"/>
      <c r="D51" s="10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2:17">
      <c r="B52" s="4"/>
      <c r="C52" s="22"/>
      <c r="D52" s="10"/>
    </row>
    <row r="53" spans="2:17">
      <c r="B53" s="4"/>
      <c r="C53" s="22"/>
      <c r="D53" s="10"/>
      <c r="E53" s="4"/>
      <c r="F53" s="4"/>
      <c r="G53" s="4"/>
      <c r="H53" s="4"/>
      <c r="I53" s="4"/>
      <c r="J53" s="4"/>
      <c r="K53" s="4"/>
    </row>
    <row r="54" spans="2:17">
      <c r="B54" s="4"/>
      <c r="C54" s="22"/>
      <c r="D54" s="10"/>
    </row>
    <row r="55" spans="2:17">
      <c r="B55" s="4"/>
      <c r="C55" s="23"/>
      <c r="D55" s="10"/>
    </row>
    <row r="56" spans="2:17">
      <c r="B56" s="4"/>
      <c r="C56" s="17"/>
      <c r="D56" s="10"/>
    </row>
    <row r="57" spans="2:17">
      <c r="B57" s="4"/>
      <c r="C57" s="22"/>
      <c r="D57" s="10"/>
      <c r="E57" s="3"/>
      <c r="G57" s="3"/>
    </row>
    <row r="58" spans="2:17">
      <c r="B58" s="4"/>
      <c r="C58" s="17"/>
      <c r="D58" s="10"/>
    </row>
    <row r="59" spans="2:17">
      <c r="B59" s="4"/>
      <c r="C59" s="17"/>
      <c r="D59" s="10"/>
    </row>
    <row r="60" spans="2:17">
      <c r="B60" s="4"/>
      <c r="C60" s="17"/>
      <c r="D60" s="10"/>
    </row>
    <row r="61" spans="2:17">
      <c r="B61" s="4"/>
    </row>
    <row r="62" spans="2:17">
      <c r="B62" s="4"/>
      <c r="C62" s="17"/>
      <c r="D62" s="10"/>
      <c r="E62" s="4"/>
    </row>
    <row r="63" spans="2:17">
      <c r="B63" s="4"/>
      <c r="C63" s="17"/>
      <c r="D63" s="10"/>
      <c r="E63" s="4"/>
    </row>
    <row r="64" spans="2:17">
      <c r="B64" s="4"/>
    </row>
    <row r="65" spans="2:2">
      <c r="B65" s="4"/>
    </row>
    <row r="66" spans="2:2">
      <c r="B66" s="4"/>
    </row>
    <row r="67" spans="2:2">
      <c r="B67" s="4"/>
    </row>
    <row r="68" spans="2:2">
      <c r="B68" s="4"/>
    </row>
    <row r="69" spans="2:2">
      <c r="B69" s="4"/>
    </row>
    <row r="70" spans="2:2">
      <c r="B70" s="4"/>
    </row>
    <row r="71" spans="2:2">
      <c r="B71" s="4"/>
    </row>
    <row r="72" spans="2:2">
      <c r="B72" s="4"/>
    </row>
    <row r="73" spans="2:2">
      <c r="B73" s="4"/>
    </row>
  </sheetData>
  <mergeCells count="33">
    <mergeCell ref="B22:D22"/>
    <mergeCell ref="F26:F27"/>
    <mergeCell ref="G26:G27"/>
    <mergeCell ref="A26:A27"/>
    <mergeCell ref="B26:B27"/>
    <mergeCell ref="C26:C27"/>
    <mergeCell ref="D26:D27"/>
    <mergeCell ref="E26:E27"/>
    <mergeCell ref="A40:B40"/>
    <mergeCell ref="A41:B41"/>
    <mergeCell ref="A39:B39"/>
    <mergeCell ref="A25:G25"/>
    <mergeCell ref="A31:A32"/>
    <mergeCell ref="B31:B32"/>
    <mergeCell ref="E31:E32"/>
    <mergeCell ref="F31:F32"/>
    <mergeCell ref="G31:G32"/>
    <mergeCell ref="A11:G11"/>
    <mergeCell ref="A13:G13"/>
    <mergeCell ref="A18:G18"/>
    <mergeCell ref="A17:G17"/>
    <mergeCell ref="G19:G20"/>
    <mergeCell ref="A19:A20"/>
    <mergeCell ref="B19:B20"/>
    <mergeCell ref="C19:C20"/>
    <mergeCell ref="D19:D20"/>
    <mergeCell ref="E19:E20"/>
    <mergeCell ref="F19:F20"/>
    <mergeCell ref="A1:G1"/>
    <mergeCell ref="A2:G2"/>
    <mergeCell ref="B4:G7"/>
    <mergeCell ref="A9:G9"/>
    <mergeCell ref="A10:G10"/>
  </mergeCells>
  <pageMargins left="0.70866141732283472" right="0.51181102362204722" top="0.55118110236220474" bottom="0.55118110236220474" header="0.31496062992125984" footer="0.3149606299212598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по смете</vt:lpstr>
      <vt:lpstr>отчет текущий ремонт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2022-08-08T09:12:19Z</dcterms:modified>
</cp:coreProperties>
</file>