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 смета 1 (S 6134,3) " sheetId="1" r:id="rId1"/>
  </sheets>
  <definedNames>
    <definedName name="_xlnm.Print_Area" localSheetId="0">' смета 1 (S 6134,3) '!$A$1:$D$87</definedName>
  </definedNames>
  <calcPr fullCalcOnLoad="1"/>
</workbook>
</file>

<file path=xl/sharedStrings.xml><?xml version="1.0" encoding="utf-8"?>
<sst xmlns="http://schemas.openxmlformats.org/spreadsheetml/2006/main" count="87" uniqueCount="84">
  <si>
    <t>Размещение оборудования Пиранья</t>
  </si>
  <si>
    <t xml:space="preserve">Взносы в ПФР </t>
  </si>
  <si>
    <t>Охрана</t>
  </si>
  <si>
    <t>ФСС</t>
  </si>
  <si>
    <t>Доходы</t>
  </si>
  <si>
    <t xml:space="preserve">Расходы </t>
  </si>
  <si>
    <t>канцтовары</t>
  </si>
  <si>
    <t>подготовка к отопительному сезону</t>
  </si>
  <si>
    <t>электрик</t>
  </si>
  <si>
    <t>уборщик</t>
  </si>
  <si>
    <t>месяц</t>
  </si>
  <si>
    <t>председатель</t>
  </si>
  <si>
    <t>услуги бухгалтерии</t>
  </si>
  <si>
    <t>Очистка козырьков</t>
  </si>
  <si>
    <t>Содержание жилья, в т.ч.:</t>
  </si>
  <si>
    <t>Зарплата персонала, в т.ч.:</t>
  </si>
  <si>
    <t>налоги, в т.ч.:</t>
  </si>
  <si>
    <t>Текущий ремонт, в т.ч.:</t>
  </si>
  <si>
    <t>услуги ООО "САНТЕХ.ник"</t>
  </si>
  <si>
    <t>Всего расходов по содержанию жилья и текущему ремонту за год</t>
  </si>
  <si>
    <t xml:space="preserve">за месяц </t>
  </si>
  <si>
    <t xml:space="preserve">за год </t>
  </si>
  <si>
    <t>Размещение оборудования Томика</t>
  </si>
  <si>
    <t>услуги ревизора</t>
  </si>
  <si>
    <t xml:space="preserve"> </t>
  </si>
  <si>
    <t>Другие расходы в т.ч.:</t>
  </si>
  <si>
    <t>услуги ЗАО "Томсклифтремонт"</t>
  </si>
  <si>
    <t>Итого:</t>
  </si>
  <si>
    <t xml:space="preserve">Вывоз мусора </t>
  </si>
  <si>
    <t>Обслуживание систем сантехнического оборудования</t>
  </si>
  <si>
    <t>Вывоз ТБО ООО "Чистый двор"(мусор)</t>
  </si>
  <si>
    <t>Услуги "ТПСбанка"</t>
  </si>
  <si>
    <t>Текущий ремонт</t>
  </si>
  <si>
    <t>стоимость с м2 за месяц для жилых помещений, руб</t>
  </si>
  <si>
    <t>стоимость с м2 за месяц для нежилых помещений, руб</t>
  </si>
  <si>
    <t>Содержание на управление</t>
  </si>
  <si>
    <t>хоз. расходы</t>
  </si>
  <si>
    <t xml:space="preserve">дворник  </t>
  </si>
  <si>
    <t>Услуги банка и бухгалтерии</t>
  </si>
  <si>
    <t>всего за год</t>
  </si>
  <si>
    <t>Всего доходов по содержанию жилья и текущему ремонту за год</t>
  </si>
  <si>
    <t>Уборка территории с жилых пом.</t>
  </si>
  <si>
    <t>Уборка подъездов с жилых пом.</t>
  </si>
  <si>
    <t>Уборка территории(жил. пом)</t>
  </si>
  <si>
    <t>Пользование лифтом(с пользующихся лифтом)</t>
  </si>
  <si>
    <t>Плата за лифт(с пользующихся лифтом)</t>
  </si>
  <si>
    <t>Другие обязательные текущие расходы(налоги, очистка козырьков,  вывоз снега, непредвиденные расходы, подготовка к отоп. сезону)</t>
  </si>
  <si>
    <t>Обслуживание домофона</t>
  </si>
  <si>
    <t>Услуги ВЦ</t>
  </si>
  <si>
    <t>услуги ООО "ЧОП" Аргус-Север" (охрана территории)</t>
  </si>
  <si>
    <t>2,88руб/кв.м</t>
  </si>
  <si>
    <t>Не включать в тариф по сод жилья, вывести в квитанции отдельными строками:</t>
  </si>
  <si>
    <t>вывоз крупногабаритного, строительного  мусора</t>
  </si>
  <si>
    <t>Непредвиденные расходы</t>
  </si>
  <si>
    <t>Аттестация по охране труда и теплоснабжению</t>
  </si>
  <si>
    <t>Услуги ЕРКЦ по печати квитанций</t>
  </si>
  <si>
    <t>Улуги по обслуживанию домофона</t>
  </si>
  <si>
    <t>21,82руб. с помещения(135 пом.)</t>
  </si>
  <si>
    <t>Решением большинства, участвующих в голосовании, утвердить перечень услуг по сод. жилья и текущему ремонту и их стоимость:</t>
  </si>
  <si>
    <t>за год с учетом НДФЛ -13%, отпускных и замещений на время отпуска</t>
  </si>
  <si>
    <t xml:space="preserve">Обслуживание систем электрооборудования </t>
  </si>
  <si>
    <t>Минимальный налог УСНО за 2015г.</t>
  </si>
  <si>
    <t>Страхование лифта</t>
  </si>
  <si>
    <t>Обследование и ремонт части вытяжных шахт</t>
  </si>
  <si>
    <t xml:space="preserve">Переоборудование 12 мест освещения общ. имущества </t>
  </si>
  <si>
    <t>1,39руб./кв.м</t>
  </si>
  <si>
    <t>1,17руб/кв.м</t>
  </si>
  <si>
    <t>доводчики на подъезды 4 шт.</t>
  </si>
  <si>
    <t xml:space="preserve">Смета на 2016 год. </t>
  </si>
  <si>
    <t>Установка козырька над 3 подъездом</t>
  </si>
  <si>
    <t>доходы на возмещение долгов, услуги юристов (сод. жилья  с должников без скидки 3 руб с м2)</t>
  </si>
  <si>
    <t>затраты на возмещение долгов, услуги юристов (сод. жилья  с должников без скидки 3 руб. с м2)</t>
  </si>
  <si>
    <t>Текущий ремонт (5396,2+738,1)*1,95р/кв.м. 12мес.</t>
  </si>
  <si>
    <t>Уборка и вывоз снега</t>
  </si>
  <si>
    <t>23,00 руб. с квартиры(112 кв.)</t>
  </si>
  <si>
    <t>Содержание жилья жилые  5396,2*16,20р/кв.м(- 3 руб. с м2 аккуратным плательщикам)</t>
  </si>
  <si>
    <t>Содержание жилья нежилые 738,1*16,20р/кв.м(- 3 руб. с м2 аккуратным плательщикам)</t>
  </si>
  <si>
    <t>Увеличение тарифа связано с необходимостью увеличения отчислений на текущий ремонт с 1,15руб. до 2,00руб.</t>
  </si>
  <si>
    <t>Благоустройство территории</t>
  </si>
  <si>
    <t>Услуги связи (интернет, телефон ТСЖ)</t>
  </si>
  <si>
    <t xml:space="preserve">Размещение оборудования Томгейт </t>
  </si>
  <si>
    <t>Затраты на возмещение долгов с должников (остальным списание)</t>
  </si>
  <si>
    <t xml:space="preserve"> Тариф по содержанию жилья и текущему ремонту с апреля 2016г. установить: 16,20+2,00=18,20 руб. с м2 с предоставлением скидки не имеющим задолженности - 3 руб.с м2 (уменьшение тарифа с 18,48 руб. до 18,20 руб возможно за счет оплаты от провайдеров)</t>
  </si>
  <si>
    <t>за месяц оклад согласно принятым ставкам и договорам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</si>
</sst>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#,##0.00&quot;р.&quot;"/>
    <numFmt numFmtId="166" formatCode="dd\ mmm\ yy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#,##0.0000&quot;р.&quot;"/>
    <numFmt numFmtId="172" formatCode="#,##0.000&quot;р.&quot;"/>
  </numFmts>
  <fonts count="52">
    <font>
      <sz val="10"/>
      <name val="Arial Cyr"/>
      <family val="0"/>
    </font>
    <font>
      <sz val="10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MS Sans Serif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/>
    </xf>
    <xf numFmtId="0" fontId="5" fillId="0" borderId="11" xfId="55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horizontal="justify"/>
    </xf>
    <xf numFmtId="0" fontId="3" fillId="0" borderId="13" xfId="55" applyFont="1" applyFill="1" applyBorder="1" applyAlignment="1">
      <alignment horizontal="left" wrapText="1"/>
      <protection/>
    </xf>
    <xf numFmtId="0" fontId="6" fillId="0" borderId="11" xfId="55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7" fillId="0" borderId="13" xfId="55" applyFont="1" applyFill="1" applyBorder="1" applyAlignment="1">
      <alignment horizontal="left" wrapText="1"/>
      <protection/>
    </xf>
    <xf numFmtId="165" fontId="4" fillId="0" borderId="10" xfId="0" applyNumberFormat="1" applyFont="1" applyFill="1" applyBorder="1" applyAlignment="1">
      <alignment/>
    </xf>
    <xf numFmtId="0" fontId="3" fillId="0" borderId="16" xfId="55" applyFont="1" applyFill="1" applyBorder="1" applyAlignment="1">
      <alignment horizontal="left" wrapText="1"/>
      <protection/>
    </xf>
    <xf numFmtId="0" fontId="3" fillId="0" borderId="17" xfId="55" applyFont="1" applyFill="1" applyBorder="1" applyAlignment="1">
      <alignment horizontal="left" wrapText="1"/>
      <protection/>
    </xf>
    <xf numFmtId="165" fontId="9" fillId="0" borderId="18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5" fontId="10" fillId="0" borderId="20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65" fontId="11" fillId="0" borderId="20" xfId="53" applyNumberFormat="1" applyFont="1" applyFill="1" applyBorder="1" applyAlignment="1">
      <alignment horizontal="right" wrapText="1"/>
      <protection/>
    </xf>
    <xf numFmtId="165" fontId="10" fillId="0" borderId="22" xfId="0" applyNumberFormat="1" applyFont="1" applyFill="1" applyBorder="1" applyAlignment="1">
      <alignment/>
    </xf>
    <xf numFmtId="165" fontId="9" fillId="0" borderId="23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 horizontal="center"/>
    </xf>
    <xf numFmtId="165" fontId="11" fillId="0" borderId="24" xfId="55" applyNumberFormat="1" applyFont="1" applyFill="1" applyBorder="1" applyAlignment="1">
      <alignment horizontal="right" wrapText="1"/>
      <protection/>
    </xf>
    <xf numFmtId="165" fontId="11" fillId="0" borderId="25" xfId="55" applyNumberFormat="1" applyFont="1" applyFill="1" applyBorder="1" applyAlignment="1">
      <alignment horizontal="right" wrapText="1"/>
      <protection/>
    </xf>
    <xf numFmtId="165" fontId="11" fillId="0" borderId="26" xfId="55" applyNumberFormat="1" applyFont="1" applyFill="1" applyBorder="1" applyAlignment="1">
      <alignment horizontal="right" wrapText="1"/>
      <protection/>
    </xf>
    <xf numFmtId="0" fontId="12" fillId="0" borderId="12" xfId="55" applyFont="1" applyFill="1" applyBorder="1" applyAlignment="1">
      <alignment horizontal="right" wrapText="1"/>
      <protection/>
    </xf>
    <xf numFmtId="0" fontId="11" fillId="0" borderId="24" xfId="55" applyFont="1" applyFill="1" applyBorder="1" applyAlignment="1">
      <alignment horizontal="right" wrapText="1"/>
      <protection/>
    </xf>
    <xf numFmtId="0" fontId="11" fillId="0" borderId="24" xfId="54" applyFont="1" applyFill="1" applyBorder="1" applyAlignment="1">
      <alignment horizontal="right" wrapText="1"/>
      <protection/>
    </xf>
    <xf numFmtId="0" fontId="11" fillId="0" borderId="10" xfId="55" applyFont="1" applyFill="1" applyBorder="1" applyAlignment="1">
      <alignment horizontal="right" wrapText="1"/>
      <protection/>
    </xf>
    <xf numFmtId="165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65" fontId="10" fillId="0" borderId="2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165" fontId="9" fillId="0" borderId="24" xfId="0" applyNumberFormat="1" applyFont="1" applyFill="1" applyBorder="1" applyAlignment="1">
      <alignment/>
    </xf>
    <xf numFmtId="165" fontId="12" fillId="0" borderId="24" xfId="53" applyNumberFormat="1" applyFont="1" applyFill="1" applyBorder="1" applyAlignment="1">
      <alignment horizontal="right" wrapText="1"/>
      <protection/>
    </xf>
    <xf numFmtId="0" fontId="10" fillId="0" borderId="24" xfId="0" applyFont="1" applyFill="1" applyBorder="1" applyAlignment="1">
      <alignment horizontal="right"/>
    </xf>
    <xf numFmtId="0" fontId="10" fillId="0" borderId="27" xfId="0" applyFont="1" applyFill="1" applyBorder="1" applyAlignment="1">
      <alignment/>
    </xf>
    <xf numFmtId="165" fontId="10" fillId="0" borderId="27" xfId="0" applyNumberFormat="1" applyFont="1" applyFill="1" applyBorder="1" applyAlignment="1">
      <alignment/>
    </xf>
    <xf numFmtId="0" fontId="12" fillId="0" borderId="28" xfId="55" applyFont="1" applyFill="1" applyBorder="1" applyAlignment="1">
      <alignment horizontal="right" wrapText="1"/>
      <protection/>
    </xf>
    <xf numFmtId="0" fontId="9" fillId="0" borderId="12" xfId="0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/>
    </xf>
    <xf numFmtId="165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5" fontId="4" fillId="0" borderId="24" xfId="0" applyNumberFormat="1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165" fontId="14" fillId="0" borderId="24" xfId="0" applyNumberFormat="1" applyFont="1" applyFill="1" applyBorder="1" applyAlignment="1">
      <alignment/>
    </xf>
    <xf numFmtId="0" fontId="0" fillId="0" borderId="25" xfId="0" applyFill="1" applyBorder="1" applyAlignment="1">
      <alignment wrapText="1"/>
    </xf>
    <xf numFmtId="165" fontId="9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left"/>
    </xf>
    <xf numFmtId="165" fontId="11" fillId="33" borderId="24" xfId="55" applyNumberFormat="1" applyFont="1" applyFill="1" applyBorder="1" applyAlignment="1">
      <alignment horizontal="right" wrapText="1"/>
      <protection/>
    </xf>
    <xf numFmtId="0" fontId="13" fillId="33" borderId="16" xfId="0" applyFont="1" applyFill="1" applyBorder="1" applyAlignment="1">
      <alignment horizontal="left"/>
    </xf>
    <xf numFmtId="165" fontId="11" fillId="0" borderId="20" xfId="55" applyNumberFormat="1" applyFont="1" applyFill="1" applyBorder="1" applyAlignment="1">
      <alignment horizontal="right" wrapText="1"/>
      <protection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165" fontId="10" fillId="0" borderId="27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6" fillId="0" borderId="29" xfId="55" applyFont="1" applyFill="1" applyBorder="1" applyAlignment="1">
      <alignment horizontal="left" wrapText="1"/>
      <protection/>
    </xf>
    <xf numFmtId="0" fontId="17" fillId="0" borderId="24" xfId="55" applyFont="1" applyFill="1" applyBorder="1" applyAlignment="1">
      <alignment horizontal="left" wrapText="1"/>
      <protection/>
    </xf>
    <xf numFmtId="165" fontId="9" fillId="0" borderId="30" xfId="0" applyNumberFormat="1" applyFont="1" applyFill="1" applyBorder="1" applyAlignment="1">
      <alignment/>
    </xf>
    <xf numFmtId="165" fontId="4" fillId="33" borderId="24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17" xfId="55" applyFont="1" applyFill="1" applyBorder="1" applyAlignment="1">
      <alignment horizontal="left" wrapText="1"/>
      <protection/>
    </xf>
    <xf numFmtId="0" fontId="12" fillId="0" borderId="31" xfId="55" applyFont="1" applyFill="1" applyBorder="1" applyAlignment="1">
      <alignment horizontal="right" wrapText="1"/>
      <protection/>
    </xf>
    <xf numFmtId="0" fontId="17" fillId="0" borderId="13" xfId="55" applyFont="1" applyFill="1" applyBorder="1" applyAlignment="1">
      <alignment horizontal="left" wrapText="1"/>
      <protection/>
    </xf>
    <xf numFmtId="0" fontId="17" fillId="0" borderId="13" xfId="54" applyFont="1" applyFill="1" applyBorder="1" applyAlignment="1">
      <alignment horizontal="left" wrapText="1"/>
      <protection/>
    </xf>
    <xf numFmtId="0" fontId="0" fillId="0" borderId="29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32" xfId="0" applyFont="1" applyFill="1" applyBorder="1" applyAlignment="1">
      <alignment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35" xfId="55" applyFont="1" applyFill="1" applyBorder="1" applyAlignment="1">
      <alignment horizontal="left" wrapText="1"/>
      <protection/>
    </xf>
    <xf numFmtId="0" fontId="4" fillId="0" borderId="28" xfId="0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рас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E59" sqref="E59"/>
    </sheetView>
  </sheetViews>
  <sheetFormatPr defaultColWidth="9.00390625" defaultRowHeight="12.75"/>
  <cols>
    <col min="1" max="1" width="56.00390625" style="4" customWidth="1"/>
    <col min="2" max="2" width="14.00390625" style="5" customWidth="1"/>
    <col min="3" max="3" width="22.25390625" style="4" customWidth="1"/>
    <col min="4" max="4" width="15.75390625" style="4" customWidth="1"/>
    <col min="5" max="5" width="14.25390625" style="4" customWidth="1"/>
    <col min="6" max="6" width="17.00390625" style="4" customWidth="1"/>
    <col min="7" max="16384" width="9.125" style="4" customWidth="1"/>
  </cols>
  <sheetData>
    <row r="1" spans="1:5" s="1" customFormat="1" ht="12.75">
      <c r="A1" s="91" t="s">
        <v>68</v>
      </c>
      <c r="B1" s="91"/>
      <c r="C1" s="91"/>
      <c r="D1" s="91"/>
      <c r="E1" s="4"/>
    </row>
    <row r="2" spans="1:5" s="1" customFormat="1" ht="12.75">
      <c r="A2" s="68"/>
      <c r="B2" s="68"/>
      <c r="C2" s="68"/>
      <c r="D2" s="68"/>
      <c r="E2" s="4"/>
    </row>
    <row r="3" spans="1:4" ht="13.5" thickBot="1">
      <c r="A3" s="6" t="s">
        <v>5</v>
      </c>
      <c r="B3" s="6" t="s">
        <v>20</v>
      </c>
      <c r="C3" s="7"/>
      <c r="D3" s="19" t="s">
        <v>21</v>
      </c>
    </row>
    <row r="4" spans="1:4" ht="15" thickBot="1">
      <c r="A4" s="15" t="s">
        <v>14</v>
      </c>
      <c r="B4" s="16"/>
      <c r="C4" s="16"/>
      <c r="D4" s="22">
        <f>SUM(D16:D35)+D11+D5</f>
        <v>1308027.892</v>
      </c>
    </row>
    <row r="5" spans="1:4" ht="76.5" customHeight="1">
      <c r="A5" s="8" t="s">
        <v>15</v>
      </c>
      <c r="B5" s="14" t="s">
        <v>83</v>
      </c>
      <c r="C5" s="9" t="s">
        <v>59</v>
      </c>
      <c r="D5" s="23">
        <f>SUM(D6:D9)+D10</f>
        <v>484696</v>
      </c>
    </row>
    <row r="6" spans="1:4" ht="15">
      <c r="A6" s="10" t="s">
        <v>11</v>
      </c>
      <c r="B6" s="31">
        <v>13790</v>
      </c>
      <c r="C6" s="31">
        <f>B6*13*1.3</f>
        <v>233051</v>
      </c>
      <c r="D6" s="31">
        <f>B6*13*1.3</f>
        <v>233051</v>
      </c>
    </row>
    <row r="7" spans="1:4" ht="15">
      <c r="A7" s="10" t="s">
        <v>8</v>
      </c>
      <c r="B7" s="31">
        <v>4740</v>
      </c>
      <c r="C7" s="31">
        <f>B7*13*1.3</f>
        <v>80106</v>
      </c>
      <c r="D7" s="31">
        <f>B7*13*1.3</f>
        <v>80106</v>
      </c>
    </row>
    <row r="8" spans="1:9" s="1" customFormat="1" ht="15">
      <c r="A8" s="10" t="s">
        <v>37</v>
      </c>
      <c r="B8" s="31">
        <v>3540</v>
      </c>
      <c r="C8" s="31">
        <f>(B8*1.3*5*2)+(B8*1.3*2*1.5)+(B8*1.3*5)+(B8*1.3*1.5)</f>
        <v>89739</v>
      </c>
      <c r="D8" s="31">
        <f>(B8*1.3*5*2)+(B8*1.3*2*1.5)+(B8*1.3*5)+(B8*1.3*1.5)</f>
        <v>89739</v>
      </c>
      <c r="E8" s="4"/>
      <c r="F8" s="4"/>
      <c r="G8" s="4"/>
      <c r="H8" s="4"/>
      <c r="I8" s="4"/>
    </row>
    <row r="9" spans="1:9" s="3" customFormat="1" ht="15">
      <c r="A9" s="10" t="s">
        <v>9</v>
      </c>
      <c r="B9" s="31">
        <v>4500</v>
      </c>
      <c r="C9" s="31">
        <f>B9*13*1.3</f>
        <v>76050</v>
      </c>
      <c r="D9" s="31">
        <f>B9*13*1.3</f>
        <v>76050</v>
      </c>
      <c r="E9" s="4"/>
      <c r="F9" s="4"/>
      <c r="G9" s="4"/>
      <c r="H9" s="4"/>
      <c r="I9" s="4"/>
    </row>
    <row r="10" spans="1:9" s="3" customFormat="1" ht="15.75" thickBot="1">
      <c r="A10" s="21" t="s">
        <v>23</v>
      </c>
      <c r="B10" s="32"/>
      <c r="C10" s="33">
        <v>5750</v>
      </c>
      <c r="D10" s="33">
        <v>5750</v>
      </c>
      <c r="E10" s="4"/>
      <c r="F10" s="4"/>
      <c r="G10" s="4"/>
      <c r="H10" s="4"/>
      <c r="I10" s="4"/>
    </row>
    <row r="11" spans="1:5" s="2" customFormat="1" ht="14.25">
      <c r="A11" s="11" t="s">
        <v>16</v>
      </c>
      <c r="B11" s="34"/>
      <c r="C11" s="34"/>
      <c r="D11" s="23">
        <f>SUM(D12:D14)</f>
        <v>134997.092</v>
      </c>
      <c r="E11" s="2" t="s">
        <v>24</v>
      </c>
    </row>
    <row r="12" spans="1:4" ht="15">
      <c r="A12" s="88" t="s">
        <v>1</v>
      </c>
      <c r="B12" s="35"/>
      <c r="C12" s="35"/>
      <c r="D12" s="24">
        <f>D5*0.2</f>
        <v>96939.20000000001</v>
      </c>
    </row>
    <row r="13" spans="1:4" ht="15">
      <c r="A13" s="89" t="s">
        <v>3</v>
      </c>
      <c r="B13" s="36"/>
      <c r="C13" s="36"/>
      <c r="D13" s="24">
        <f>(D5-C10)*0.002</f>
        <v>957.892</v>
      </c>
    </row>
    <row r="14" spans="1:4" ht="15.75" thickBot="1">
      <c r="A14" s="20" t="s">
        <v>61</v>
      </c>
      <c r="B14" s="37"/>
      <c r="C14" s="37"/>
      <c r="D14" s="25">
        <v>37100</v>
      </c>
    </row>
    <row r="15" spans="1:4" ht="15">
      <c r="A15" s="52" t="s">
        <v>25</v>
      </c>
      <c r="B15" s="38"/>
      <c r="C15" s="39"/>
      <c r="D15" s="26"/>
    </row>
    <row r="16" spans="1:4" ht="16.5">
      <c r="A16" s="18" t="s">
        <v>12</v>
      </c>
      <c r="B16" s="70">
        <v>7000</v>
      </c>
      <c r="C16" s="35"/>
      <c r="D16" s="24">
        <f>B16*12</f>
        <v>84000</v>
      </c>
    </row>
    <row r="17" spans="1:5" s="2" customFormat="1" ht="16.5">
      <c r="A17" s="17" t="s">
        <v>30</v>
      </c>
      <c r="B17" s="40">
        <v>12000</v>
      </c>
      <c r="C17" s="41"/>
      <c r="D17" s="24">
        <f>B17*12</f>
        <v>144000</v>
      </c>
      <c r="E17" s="4"/>
    </row>
    <row r="18" spans="1:5" s="2" customFormat="1" ht="16.5">
      <c r="A18" s="17" t="s">
        <v>49</v>
      </c>
      <c r="B18" s="40">
        <v>2380</v>
      </c>
      <c r="C18" s="41"/>
      <c r="D18" s="24">
        <f>B18*12</f>
        <v>28560</v>
      </c>
      <c r="E18" s="4"/>
    </row>
    <row r="19" spans="1:5" s="2" customFormat="1" ht="16.5">
      <c r="A19" s="17" t="s">
        <v>18</v>
      </c>
      <c r="B19" s="40">
        <v>11000</v>
      </c>
      <c r="C19" s="41"/>
      <c r="D19" s="24">
        <f>B19*12</f>
        <v>132000</v>
      </c>
      <c r="E19" s="4"/>
    </row>
    <row r="20" spans="1:5" s="2" customFormat="1" ht="16.5">
      <c r="A20" s="17" t="s">
        <v>26</v>
      </c>
      <c r="B20" s="40">
        <v>5707.2</v>
      </c>
      <c r="C20" s="41"/>
      <c r="D20" s="24">
        <f>B20*12</f>
        <v>68486.4</v>
      </c>
      <c r="E20" s="4"/>
    </row>
    <row r="21" spans="1:5" s="2" customFormat="1" ht="16.5">
      <c r="A21" s="17" t="s">
        <v>31</v>
      </c>
      <c r="B21" s="42"/>
      <c r="C21" s="41"/>
      <c r="D21" s="24">
        <v>16000</v>
      </c>
      <c r="E21" s="4"/>
    </row>
    <row r="22" spans="1:5" s="2" customFormat="1" ht="16.5">
      <c r="A22" s="17" t="s">
        <v>79</v>
      </c>
      <c r="B22" s="40">
        <v>1270</v>
      </c>
      <c r="C22" s="41"/>
      <c r="D22" s="24">
        <f>B22*12</f>
        <v>15240</v>
      </c>
      <c r="E22" s="4"/>
    </row>
    <row r="23" spans="1:5" s="1" customFormat="1" ht="16.5">
      <c r="A23" s="17" t="s">
        <v>6</v>
      </c>
      <c r="B23" s="42"/>
      <c r="C23" s="41"/>
      <c r="D23" s="24">
        <v>2000</v>
      </c>
      <c r="E23" s="4"/>
    </row>
    <row r="24" spans="1:5" s="1" customFormat="1" ht="16.5">
      <c r="A24" s="17" t="s">
        <v>56</v>
      </c>
      <c r="B24" s="40">
        <v>2600</v>
      </c>
      <c r="C24" s="41"/>
      <c r="D24" s="24">
        <f>B24*12</f>
        <v>31200</v>
      </c>
      <c r="E24" s="4"/>
    </row>
    <row r="25" spans="1:5" s="1" customFormat="1" ht="16.5">
      <c r="A25" s="17" t="s">
        <v>55</v>
      </c>
      <c r="B25" s="40">
        <v>2945.7</v>
      </c>
      <c r="C25" s="41"/>
      <c r="D25" s="24">
        <f>B25*12</f>
        <v>35348.399999999994</v>
      </c>
      <c r="E25" s="4"/>
    </row>
    <row r="26" spans="1:4" ht="16.5">
      <c r="A26" s="18" t="s">
        <v>13</v>
      </c>
      <c r="B26" s="43"/>
      <c r="C26" s="41"/>
      <c r="D26" s="27">
        <v>20000</v>
      </c>
    </row>
    <row r="27" spans="1:4" ht="16.5">
      <c r="A27" s="18" t="s">
        <v>73</v>
      </c>
      <c r="B27" s="43"/>
      <c r="C27" s="41"/>
      <c r="D27" s="27">
        <v>10000</v>
      </c>
    </row>
    <row r="28" spans="1:5" s="3" customFormat="1" ht="16.5">
      <c r="A28" s="18" t="s">
        <v>7</v>
      </c>
      <c r="B28" s="42"/>
      <c r="C28" s="41"/>
      <c r="D28" s="24">
        <v>20000</v>
      </c>
      <c r="E28" s="4"/>
    </row>
    <row r="29" spans="1:5" s="3" customFormat="1" ht="16.5">
      <c r="A29" s="18" t="s">
        <v>36</v>
      </c>
      <c r="B29" s="42"/>
      <c r="C29" s="41"/>
      <c r="D29" s="24">
        <v>10000</v>
      </c>
      <c r="E29" s="4"/>
    </row>
    <row r="30" spans="1:5" s="3" customFormat="1" ht="16.5">
      <c r="A30" s="18" t="s">
        <v>67</v>
      </c>
      <c r="B30" s="42"/>
      <c r="C30" s="41"/>
      <c r="D30" s="24">
        <v>8500</v>
      </c>
      <c r="E30" s="4"/>
    </row>
    <row r="31" spans="1:4" ht="16.5">
      <c r="A31" s="17" t="s">
        <v>52</v>
      </c>
      <c r="B31" s="44"/>
      <c r="C31" s="44"/>
      <c r="D31" s="24">
        <v>5000</v>
      </c>
    </row>
    <row r="32" spans="1:4" ht="16.5">
      <c r="A32" s="17" t="s">
        <v>54</v>
      </c>
      <c r="B32" s="44"/>
      <c r="C32" s="44"/>
      <c r="D32" s="24">
        <v>6000</v>
      </c>
    </row>
    <row r="33" spans="1:4" ht="16.5">
      <c r="A33" s="18" t="s">
        <v>62</v>
      </c>
      <c r="B33" s="43"/>
      <c r="C33" s="41"/>
      <c r="D33" s="27">
        <v>2000</v>
      </c>
    </row>
    <row r="34" spans="1:4" ht="16.5">
      <c r="A34" s="69" t="s">
        <v>53</v>
      </c>
      <c r="B34" s="55"/>
      <c r="C34" s="56"/>
      <c r="D34" s="40">
        <v>35000</v>
      </c>
    </row>
    <row r="35" spans="1:4" ht="17.25" thickBot="1">
      <c r="A35" s="71" t="s">
        <v>71</v>
      </c>
      <c r="B35" s="50"/>
      <c r="C35" s="50"/>
      <c r="D35" s="65">
        <v>15000</v>
      </c>
    </row>
    <row r="36" spans="1:4" ht="14.25">
      <c r="A36" s="11" t="s">
        <v>17</v>
      </c>
      <c r="B36" s="34"/>
      <c r="C36" s="34"/>
      <c r="D36" s="23">
        <f>SUM(D37:D40)</f>
        <v>131500</v>
      </c>
    </row>
    <row r="37" spans="1:4" ht="15.75" customHeight="1">
      <c r="A37" s="76" t="s">
        <v>78</v>
      </c>
      <c r="B37" s="44"/>
      <c r="C37" s="44"/>
      <c r="D37" s="24">
        <v>25000</v>
      </c>
    </row>
    <row r="38" spans="1:4" ht="17.25" customHeight="1">
      <c r="A38" s="76" t="s">
        <v>69</v>
      </c>
      <c r="B38" s="50"/>
      <c r="C38" s="50"/>
      <c r="D38" s="25">
        <v>30000</v>
      </c>
    </row>
    <row r="39" spans="1:4" ht="17.25" customHeight="1">
      <c r="A39" s="77" t="s">
        <v>64</v>
      </c>
      <c r="B39" s="50"/>
      <c r="C39" s="50"/>
      <c r="D39" s="25">
        <v>24500</v>
      </c>
    </row>
    <row r="40" spans="1:4" ht="15.75" thickBot="1">
      <c r="A40" s="79" t="s">
        <v>63</v>
      </c>
      <c r="B40" s="46"/>
      <c r="C40" s="45"/>
      <c r="D40" s="28">
        <v>52000</v>
      </c>
    </row>
    <row r="41" spans="1:4" ht="26.25" thickBot="1">
      <c r="A41" s="78" t="s">
        <v>19</v>
      </c>
      <c r="B41" s="47"/>
      <c r="C41" s="47"/>
      <c r="D41" s="29">
        <f>D4+D36</f>
        <v>1439527.892</v>
      </c>
    </row>
    <row r="42" spans="1:4" ht="15" thickBot="1">
      <c r="A42" s="86"/>
      <c r="B42" s="87"/>
      <c r="C42" s="87"/>
      <c r="D42" s="80"/>
    </row>
    <row r="43" spans="1:4" ht="14.25">
      <c r="A43" s="12" t="s">
        <v>4</v>
      </c>
      <c r="B43" s="48" t="s">
        <v>10</v>
      </c>
      <c r="C43" s="48"/>
      <c r="D43" s="30" t="s">
        <v>39</v>
      </c>
    </row>
    <row r="44" spans="1:4" ht="26.25">
      <c r="A44" s="51" t="s">
        <v>75</v>
      </c>
      <c r="B44" s="49">
        <f>D44/12</f>
        <v>71229.84</v>
      </c>
      <c r="C44" s="40"/>
      <c r="D44" s="24">
        <f>5396.2*13.2*12</f>
        <v>854758.08</v>
      </c>
    </row>
    <row r="45" spans="1:4" ht="26.25">
      <c r="A45" s="51" t="s">
        <v>76</v>
      </c>
      <c r="B45" s="49">
        <f>D45/12</f>
        <v>9779.825</v>
      </c>
      <c r="C45" s="40"/>
      <c r="D45" s="24">
        <f>738.1*13.25*12</f>
        <v>117357.90000000001</v>
      </c>
    </row>
    <row r="46" spans="1:4" ht="14.25" customHeight="1">
      <c r="A46" s="53" t="s">
        <v>70</v>
      </c>
      <c r="B46" s="50"/>
      <c r="C46" s="50"/>
      <c r="D46" s="65">
        <v>15000</v>
      </c>
    </row>
    <row r="47" spans="1:5" ht="15">
      <c r="A47" s="13" t="s">
        <v>72</v>
      </c>
      <c r="B47" s="49">
        <f>D47/8</f>
        <v>16102.537499999999</v>
      </c>
      <c r="C47" s="40"/>
      <c r="D47" s="24">
        <f>(5396.2+738.1)*1.95*9+(5396.2+738.1)*1.15*3</f>
        <v>128820.29999999999</v>
      </c>
      <c r="E47" s="54"/>
    </row>
    <row r="48" spans="1:4" ht="15">
      <c r="A48" s="13" t="s">
        <v>43</v>
      </c>
      <c r="B48" s="49">
        <f>D48/12</f>
        <v>7478.25</v>
      </c>
      <c r="C48" s="40"/>
      <c r="D48" s="72">
        <v>89739</v>
      </c>
    </row>
    <row r="49" spans="1:4" ht="15">
      <c r="A49" s="73" t="s">
        <v>42</v>
      </c>
      <c r="B49" s="49">
        <f>D49/12</f>
        <v>6337.5</v>
      </c>
      <c r="C49" s="40"/>
      <c r="D49" s="24">
        <v>76050</v>
      </c>
    </row>
    <row r="50" spans="1:4" ht="15">
      <c r="A50" s="74" t="s">
        <v>45</v>
      </c>
      <c r="B50" s="49">
        <f>D50/12</f>
        <v>5713.920000000001</v>
      </c>
      <c r="C50" s="40"/>
      <c r="D50" s="24">
        <f>1984*2.88*12</f>
        <v>68567.04000000001</v>
      </c>
    </row>
    <row r="51" spans="1:4" ht="16.5">
      <c r="A51" s="17" t="s">
        <v>56</v>
      </c>
      <c r="B51" s="49">
        <v>2600</v>
      </c>
      <c r="C51" s="40"/>
      <c r="D51" s="24">
        <f>B51*12</f>
        <v>31200</v>
      </c>
    </row>
    <row r="52" spans="1:4" ht="16.5">
      <c r="A52" s="17" t="s">
        <v>55</v>
      </c>
      <c r="B52" s="49">
        <v>2945.7</v>
      </c>
      <c r="C52" s="40"/>
      <c r="D52" s="24">
        <f>B52*12</f>
        <v>35348.399999999994</v>
      </c>
    </row>
    <row r="53" spans="1:4" ht="15">
      <c r="A53" s="13" t="s">
        <v>0</v>
      </c>
      <c r="B53" s="49">
        <v>450</v>
      </c>
      <c r="C53" s="40"/>
      <c r="D53" s="24">
        <f>B53*12</f>
        <v>5400</v>
      </c>
    </row>
    <row r="54" spans="1:4" ht="15">
      <c r="A54" s="13" t="s">
        <v>80</v>
      </c>
      <c r="B54" s="82">
        <v>1000</v>
      </c>
      <c r="C54" s="83"/>
      <c r="D54" s="25">
        <f>B54*12</f>
        <v>12000</v>
      </c>
    </row>
    <row r="55" spans="1:4" ht="15.75" thickBot="1">
      <c r="A55" s="90" t="s">
        <v>22</v>
      </c>
      <c r="B55" s="75">
        <v>500</v>
      </c>
      <c r="C55" s="75"/>
      <c r="D55" s="28">
        <f>B55*12</f>
        <v>6000</v>
      </c>
    </row>
    <row r="56" spans="1:4" ht="25.5" customHeight="1" thickBot="1">
      <c r="A56" s="95" t="s">
        <v>40</v>
      </c>
      <c r="B56" s="96"/>
      <c r="C56" s="97"/>
      <c r="D56" s="29">
        <f>SUM(D44:D55)</f>
        <v>1440240.72</v>
      </c>
    </row>
    <row r="57" ht="20.25" customHeight="1"/>
    <row r="58" spans="1:3" ht="66" customHeight="1">
      <c r="A58" s="61" t="s">
        <v>58</v>
      </c>
      <c r="B58" s="60" t="s">
        <v>33</v>
      </c>
      <c r="C58" s="60" t="s">
        <v>34</v>
      </c>
    </row>
    <row r="59" spans="1:3" ht="12.75">
      <c r="A59" s="56" t="s">
        <v>35</v>
      </c>
      <c r="B59" s="55">
        <f>(D6+D23+D22)/(5396.2+738.1)/12</f>
        <v>3.400157040466448</v>
      </c>
      <c r="C59" s="55">
        <v>3.4</v>
      </c>
    </row>
    <row r="60" spans="1:3" ht="12.75">
      <c r="A60" s="56" t="s">
        <v>38</v>
      </c>
      <c r="B60" s="55">
        <f>(D21+D16)/(5396.2+738.1)/12</f>
        <v>1.3584815436697477</v>
      </c>
      <c r="C60" s="55">
        <v>1.36</v>
      </c>
    </row>
    <row r="61" spans="1:3" ht="12.75">
      <c r="A61" s="56" t="s">
        <v>60</v>
      </c>
      <c r="B61" s="55">
        <f>C7/(5396.2+738.1)/12</f>
        <v>1.088225225372088</v>
      </c>
      <c r="C61" s="55">
        <f>C7/(5396.7+709.4)/12</f>
        <v>1.0932510112837983</v>
      </c>
    </row>
    <row r="62" spans="1:4" ht="12.75">
      <c r="A62" s="56" t="s">
        <v>29</v>
      </c>
      <c r="B62" s="55">
        <f>D19/(5396.2+738.1)/12</f>
        <v>1.793195637644067</v>
      </c>
      <c r="C62" s="55">
        <v>1.79</v>
      </c>
      <c r="D62" s="2"/>
    </row>
    <row r="63" spans="1:5" ht="12.75">
      <c r="A63" s="56" t="s">
        <v>28</v>
      </c>
      <c r="B63" s="55">
        <f>D17/(5396.2+738.1)/12</f>
        <v>1.9562134228844368</v>
      </c>
      <c r="C63" s="55">
        <v>1.96</v>
      </c>
      <c r="D63" s="2"/>
      <c r="E63" s="5"/>
    </row>
    <row r="64" spans="1:4" ht="12.75">
      <c r="A64" s="56" t="s">
        <v>2</v>
      </c>
      <c r="B64" s="55">
        <f>D18/(5396.2+738.1)/12</f>
        <v>0.3879823288720799</v>
      </c>
      <c r="C64" s="55">
        <v>0.39</v>
      </c>
      <c r="D64" s="2"/>
    </row>
    <row r="65" spans="1:4" ht="36.75" customHeight="1">
      <c r="A65" s="62" t="s">
        <v>46</v>
      </c>
      <c r="B65" s="55">
        <f>(D10+D11+D26+D27+D28+D29+D30+D31+D33+D32+D34)/(5396.2+738.1)/12</f>
        <v>3.4946542664471356</v>
      </c>
      <c r="C65" s="55">
        <v>3.49</v>
      </c>
      <c r="D65" s="59"/>
    </row>
    <row r="66" spans="1:3" ht="18" customHeight="1">
      <c r="A66" s="56" t="s">
        <v>81</v>
      </c>
      <c r="B66" s="55">
        <v>3</v>
      </c>
      <c r="C66" s="55">
        <v>3</v>
      </c>
    </row>
    <row r="67" spans="1:3" ht="12.75">
      <c r="A67" s="56" t="s">
        <v>32</v>
      </c>
      <c r="B67" s="55">
        <f>(D36-6134.3*3*1.15)/6134.3/9</f>
        <v>1.9985376399009576</v>
      </c>
      <c r="C67" s="55">
        <v>2</v>
      </c>
    </row>
    <row r="68" spans="1:3" ht="15.75">
      <c r="A68" s="57" t="s">
        <v>27</v>
      </c>
      <c r="B68" s="63">
        <f>SUM(B59:B67)</f>
        <v>18.47744710525696</v>
      </c>
      <c r="C68" s="63">
        <f>SUM(C59:C67)</f>
        <v>18.483251011283798</v>
      </c>
    </row>
    <row r="69" spans="1:3" ht="13.5" thickBot="1">
      <c r="A69" s="64"/>
      <c r="C69" s="5"/>
    </row>
    <row r="70" spans="1:3" ht="46.5" customHeight="1" thickBot="1">
      <c r="A70" s="92" t="s">
        <v>82</v>
      </c>
      <c r="B70" s="93"/>
      <c r="C70" s="94"/>
    </row>
    <row r="71" spans="1:3" ht="22.5" customHeight="1">
      <c r="A71" s="84"/>
      <c r="B71" s="85"/>
      <c r="C71" s="85"/>
    </row>
    <row r="72" spans="1:2" ht="12.75">
      <c r="A72" s="66" t="s">
        <v>51</v>
      </c>
      <c r="B72" s="67"/>
    </row>
    <row r="73" spans="1:3" ht="12.75">
      <c r="A73" s="57" t="s">
        <v>41</v>
      </c>
      <c r="B73" s="58" t="s">
        <v>65</v>
      </c>
      <c r="C73" s="55">
        <f>C8/(5396.2)/12</f>
        <v>1.3858363292687448</v>
      </c>
    </row>
    <row r="74" spans="1:3" ht="12.75">
      <c r="A74" s="57" t="s">
        <v>42</v>
      </c>
      <c r="B74" s="58" t="s">
        <v>66</v>
      </c>
      <c r="C74" s="55">
        <f>C9/(5396.2)/12</f>
        <v>1.1744375671769023</v>
      </c>
    </row>
    <row r="75" spans="1:3" ht="12.75">
      <c r="A75" s="61" t="s">
        <v>44</v>
      </c>
      <c r="B75" s="58" t="s">
        <v>50</v>
      </c>
      <c r="C75" s="55">
        <f>D50/1984/12</f>
        <v>2.8800000000000003</v>
      </c>
    </row>
    <row r="76" spans="1:4" ht="12.75">
      <c r="A76" s="57" t="s">
        <v>47</v>
      </c>
      <c r="B76" s="81" t="s">
        <v>74</v>
      </c>
      <c r="C76" s="56"/>
      <c r="D76" s="5">
        <f>(B51-23)/112</f>
        <v>23.008928571428573</v>
      </c>
    </row>
    <row r="77" spans="1:4" ht="12.75">
      <c r="A77" s="57" t="s">
        <v>48</v>
      </c>
      <c r="B77" s="58" t="s">
        <v>57</v>
      </c>
      <c r="C77" s="56"/>
      <c r="D77" s="5">
        <f>B52/135</f>
        <v>21.82</v>
      </c>
    </row>
    <row r="79" spans="1:2" ht="12.75">
      <c r="A79" s="2" t="s">
        <v>77</v>
      </c>
      <c r="B79" s="4"/>
    </row>
    <row r="80" ht="146.25" customHeight="1">
      <c r="B80" s="4"/>
    </row>
    <row r="81" ht="42.75" customHeight="1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</sheetData>
  <sheetProtection/>
  <mergeCells count="2">
    <mergeCell ref="A1:D1"/>
    <mergeCell ref="A70:C70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Тихий</cp:lastModifiedBy>
  <cp:lastPrinted>2016-03-13T19:58:57Z</cp:lastPrinted>
  <dcterms:created xsi:type="dcterms:W3CDTF">2007-02-07T09:29:46Z</dcterms:created>
  <dcterms:modified xsi:type="dcterms:W3CDTF">2016-03-25T07:30:35Z</dcterms:modified>
  <cp:category/>
  <cp:version/>
  <cp:contentType/>
  <cp:contentStatus/>
</cp:coreProperties>
</file>