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2" yWindow="122" windowWidth="9727" windowHeight="7322" tabRatio="934" firstSheet="4" activeTab="17"/>
  </bookViews>
  <sheets>
    <sheet name="расчет" sheetId="1" r:id="rId1"/>
    <sheet name="Ирк.85" sheetId="2" r:id="rId2"/>
    <sheet name="Ирк.89" sheetId="3" r:id="rId3"/>
    <sheet name="Кл.3" sheetId="4" r:id="rId4"/>
    <sheet name="Кл.5" sheetId="5" r:id="rId5"/>
    <sheet name="Кл.18" sheetId="6" r:id="rId6"/>
    <sheet name="Кл.20" sheetId="7" r:id="rId7"/>
    <sheet name="Кл.26" sheetId="8" r:id="rId8"/>
    <sheet name="Обр.14" sheetId="9" r:id="rId9"/>
    <sheet name="Обр.18" sheetId="10" r:id="rId10"/>
    <sheet name="Обр.26" sheetId="11" r:id="rId11"/>
    <sheet name="Бир.6" sheetId="12" r:id="rId12"/>
    <sheet name="Бир.11" sheetId="13" r:id="rId13"/>
    <sheet name="Бир.3" sheetId="14" r:id="rId14"/>
    <sheet name="Бир.5" sheetId="15" r:id="rId15"/>
    <sheet name="Бир.7А" sheetId="16" r:id="rId16"/>
    <sheet name="Бир.7" sheetId="17" r:id="rId17"/>
    <sheet name="свод" sheetId="18" r:id="rId18"/>
  </sheets>
  <definedNames/>
  <calcPr fullCalcOnLoad="1"/>
</workbook>
</file>

<file path=xl/sharedStrings.xml><?xml version="1.0" encoding="utf-8"?>
<sst xmlns="http://schemas.openxmlformats.org/spreadsheetml/2006/main" count="716" uniqueCount="150">
  <si>
    <t xml:space="preserve">Наименование работ </t>
  </si>
  <si>
    <t>Ед.изм.</t>
  </si>
  <si>
    <t>Объем</t>
  </si>
  <si>
    <t>Сумма</t>
  </si>
  <si>
    <t>Срок исполнения</t>
  </si>
  <si>
    <t>1 кв.</t>
  </si>
  <si>
    <t>2 кв.</t>
  </si>
  <si>
    <t>3 кв.</t>
  </si>
  <si>
    <t>4 кв.</t>
  </si>
  <si>
    <t xml:space="preserve">Итого плановый текущий ремонт </t>
  </si>
  <si>
    <t>Итого по дому</t>
  </si>
  <si>
    <t>Непредвиденный ремонт</t>
  </si>
  <si>
    <t>Директор ООО УК "Энергия"  _______________________________</t>
  </si>
  <si>
    <t>С.Г.Казаркина</t>
  </si>
  <si>
    <t>Собсвенники жилых помещений ____________________________</t>
  </si>
  <si>
    <t>План по текущему ремонту на 2010 год</t>
  </si>
  <si>
    <r>
      <t xml:space="preserve">жилого дома, расположенному по адресу </t>
    </r>
    <r>
      <rPr>
        <u val="single"/>
        <sz val="10"/>
        <rFont val="Arial"/>
        <family val="2"/>
      </rPr>
      <t>Иркутский тракт, 85</t>
    </r>
  </si>
  <si>
    <t>находящегося в управлении ( на обслуживании )  ООО УК"Энергия"</t>
  </si>
  <si>
    <r>
      <t xml:space="preserve">жилого дома, расположенному по адресу </t>
    </r>
    <r>
      <rPr>
        <u val="single"/>
        <sz val="10"/>
        <rFont val="Arial"/>
        <family val="2"/>
      </rPr>
      <t>Иркутский тракт, 89</t>
    </r>
  </si>
  <si>
    <r>
      <t xml:space="preserve">жилого дома, расположенному по адресу </t>
    </r>
    <r>
      <rPr>
        <u val="single"/>
        <sz val="10"/>
        <rFont val="Arial"/>
        <family val="2"/>
      </rPr>
      <t>Клюева,3</t>
    </r>
  </si>
  <si>
    <r>
      <t xml:space="preserve">жилого дома, расположенному по адресу </t>
    </r>
    <r>
      <rPr>
        <u val="single"/>
        <sz val="10"/>
        <rFont val="Arial"/>
        <family val="2"/>
      </rPr>
      <t>Клюева,26</t>
    </r>
  </si>
  <si>
    <r>
      <t xml:space="preserve">жилого дома, расположенному по адресу </t>
    </r>
    <r>
      <rPr>
        <u val="single"/>
        <sz val="10"/>
        <rFont val="Arial"/>
        <family val="2"/>
      </rPr>
      <t>Клюева,20</t>
    </r>
  </si>
  <si>
    <r>
      <t xml:space="preserve">жилого дома, расположенному по адресу </t>
    </r>
    <r>
      <rPr>
        <u val="single"/>
        <sz val="10"/>
        <rFont val="Arial"/>
        <family val="2"/>
      </rPr>
      <t>Клюева,18</t>
    </r>
  </si>
  <si>
    <r>
      <t xml:space="preserve">жилого дома, расположенному по адресу </t>
    </r>
    <r>
      <rPr>
        <u val="single"/>
        <sz val="10"/>
        <rFont val="Arial"/>
        <family val="2"/>
      </rPr>
      <t>Клюева,5</t>
    </r>
  </si>
  <si>
    <t>жилого дома, расположенному по адресу Обручева,14</t>
  </si>
  <si>
    <r>
      <t xml:space="preserve">жилого дома, расположенному по адресу </t>
    </r>
    <r>
      <rPr>
        <u val="single"/>
        <sz val="10"/>
        <rFont val="Arial"/>
        <family val="2"/>
      </rPr>
      <t>Обручева,18</t>
    </r>
  </si>
  <si>
    <r>
      <t xml:space="preserve">жилого дома, расположенному по адресу </t>
    </r>
    <r>
      <rPr>
        <u val="single"/>
        <sz val="10"/>
        <rFont val="Arial"/>
        <family val="2"/>
      </rPr>
      <t>Обручева,26</t>
    </r>
  </si>
  <si>
    <r>
      <t xml:space="preserve">жилого дома, расположенному по адресу </t>
    </r>
    <r>
      <rPr>
        <u val="single"/>
        <sz val="10"/>
        <rFont val="Arial"/>
        <family val="2"/>
      </rPr>
      <t>Бирюкова, 6</t>
    </r>
  </si>
  <si>
    <t>№ п/п</t>
  </si>
  <si>
    <t>Адрес</t>
  </si>
  <si>
    <t>Общая площадь жилых помещений, м2</t>
  </si>
  <si>
    <t>Общая площадь не жилых помещений, м2</t>
  </si>
  <si>
    <t>Сумма отчислений на содержание УК (14,9%*ст.7), руб.</t>
  </si>
  <si>
    <t>Бирюкова, 3</t>
  </si>
  <si>
    <t>Бирюкова, 5</t>
  </si>
  <si>
    <t>Бирюкова, 6</t>
  </si>
  <si>
    <t>Бирюкова, 7</t>
  </si>
  <si>
    <t>Бирюкова, 7А</t>
  </si>
  <si>
    <t>Бирюкова, 11</t>
  </si>
  <si>
    <t>Клюева,3</t>
  </si>
  <si>
    <t>Клюева,5</t>
  </si>
  <si>
    <t>Клюева,18</t>
  </si>
  <si>
    <t>Клюева,20</t>
  </si>
  <si>
    <t>Клюева,26</t>
  </si>
  <si>
    <t>Обручева,14</t>
  </si>
  <si>
    <t>Обручева,18</t>
  </si>
  <si>
    <t>Обручева,26</t>
  </si>
  <si>
    <t>Иркутский тракт,85</t>
  </si>
  <si>
    <t>Иркутский тракт,89</t>
  </si>
  <si>
    <t>Итого:</t>
  </si>
  <si>
    <t>Тариф на текущий ремонт жилых помещений, руб/м2</t>
  </si>
  <si>
    <t>Тариф на текущий ремонт не жилых помещений, руб/м2</t>
  </si>
  <si>
    <t>Дополнительные доходы дома (арендная плата, размещение рекламы, размещение оборудования интернет провайдеров и т.д. и т.п.)</t>
  </si>
  <si>
    <t>Сумма годовых начислений по текущему  ремонту, руб./год (ст.3*ст.4+ст.5*ст.6)*12+ ст.7, руб.</t>
  </si>
  <si>
    <t>Сумма годовых начислений по текущему ремонту за вычетом расходов на содержание УК (ст.8-ст.9), руб.</t>
  </si>
  <si>
    <t>Сальдо по текущему ремонту  по состоянию на 01.01.2010г.,руб.</t>
  </si>
  <si>
    <t>Сумма на выполнение работ по текущему ремонту на 2010г. (ст.10+ст.11),руб</t>
  </si>
  <si>
    <t>Непредвиденный ремонт (0,2 *ст.12,), руб,</t>
  </si>
  <si>
    <t>Сумма на выполнение планового текущего ремонта ( ст.12-ст.13), руб.</t>
  </si>
  <si>
    <t>%</t>
  </si>
  <si>
    <t>Ремонт МПШ</t>
  </si>
  <si>
    <t>м</t>
  </si>
  <si>
    <t>Ремонт балконных козырьков</t>
  </si>
  <si>
    <t>шт</t>
  </si>
  <si>
    <t>Смена сборок(сгон+вентиль+врезка сбросника)</t>
  </si>
  <si>
    <t xml:space="preserve">  -отопление</t>
  </si>
  <si>
    <t xml:space="preserve">  - ГВС</t>
  </si>
  <si>
    <t xml:space="preserve">  - ХВС</t>
  </si>
  <si>
    <t>Ремонт подъездов № 2,6,8,9</t>
  </si>
  <si>
    <t>Ремонт узлов управления</t>
  </si>
  <si>
    <t xml:space="preserve">Ремонт площадных эл.щитов </t>
  </si>
  <si>
    <t>Замена трубопроводов канализации</t>
  </si>
  <si>
    <t>м2</t>
  </si>
  <si>
    <t xml:space="preserve"> - поворотная вставка м/у под.№4,5</t>
  </si>
  <si>
    <t xml:space="preserve"> - ж/б кровли под.№ 3</t>
  </si>
  <si>
    <t xml:space="preserve">Смена эл.счетчиков </t>
  </si>
  <si>
    <t xml:space="preserve">Смена внутреннего водостока  </t>
  </si>
  <si>
    <t>Ремонт  кровли в т.ч.</t>
  </si>
  <si>
    <t>Смена сборок(сгон+вентиль+врезка сбросника) в т.ч.</t>
  </si>
  <si>
    <t>Ремонт водорамки ХВС</t>
  </si>
  <si>
    <t>Ремонт системы отопления ( смена задвижек у/у. крыловых на затворы)</t>
  </si>
  <si>
    <t>Остекление</t>
  </si>
  <si>
    <t>Закрыть каналы под эл.проводку на площадках</t>
  </si>
  <si>
    <t>Смена чугунных вентилей ( сборок) на розливе отопления по тех.этажу</t>
  </si>
  <si>
    <t>Ремонт узла управления ( со сменой крыловых задвижек  на затворы)</t>
  </si>
  <si>
    <t>Замена розлива по тех.этажу под,№1,2,3</t>
  </si>
  <si>
    <t>Ремонт площадных эл.щитов с заменой автоматов под.№1,2,3</t>
  </si>
  <si>
    <t>м.п.</t>
  </si>
  <si>
    <t>Замена дверного блока под.№ 1,2,3</t>
  </si>
  <si>
    <t>Восстановление отмостки</t>
  </si>
  <si>
    <t>Восстановление отмосток</t>
  </si>
  <si>
    <t>Ремонт площадных эл.щитов под.№ 1,2</t>
  </si>
  <si>
    <t>Ремонт мягкой кровли под.№ 1</t>
  </si>
  <si>
    <t>Ремонт отмосток</t>
  </si>
  <si>
    <t>Замена розлива по тех.этажу</t>
  </si>
  <si>
    <t xml:space="preserve"> - система отопления</t>
  </si>
  <si>
    <t>Восстановление освещения по подвалу</t>
  </si>
  <si>
    <t xml:space="preserve">Остекление </t>
  </si>
  <si>
    <t xml:space="preserve">Ремонт кровли </t>
  </si>
  <si>
    <t>Ремонт кровли под.№ 1</t>
  </si>
  <si>
    <t>Ремонт полов в подъезах</t>
  </si>
  <si>
    <t>Ремонт подъеда</t>
  </si>
  <si>
    <t xml:space="preserve">Ремонт узлов управления </t>
  </si>
  <si>
    <t>Ремонт подъезда № 4</t>
  </si>
  <si>
    <t>Ремонт мягкой кровли под.№1</t>
  </si>
  <si>
    <t>Ремонт площадных эл.щитов</t>
  </si>
  <si>
    <t>Ремонт балконного козырька</t>
  </si>
  <si>
    <r>
      <t xml:space="preserve">жилого дома, расположенному по адресу </t>
    </r>
    <r>
      <rPr>
        <u val="single"/>
        <sz val="10"/>
        <rFont val="Arial"/>
        <family val="2"/>
      </rPr>
      <t>Бирюкова, 5</t>
    </r>
  </si>
  <si>
    <t>Ремонт подъезда</t>
  </si>
  <si>
    <r>
      <t xml:space="preserve">жилого дома, расположенному по адресу </t>
    </r>
    <r>
      <rPr>
        <u val="single"/>
        <sz val="10"/>
        <rFont val="Arial"/>
        <family val="2"/>
      </rPr>
      <t>Бирюкова, 7 А</t>
    </r>
  </si>
  <si>
    <r>
      <t xml:space="preserve">жилого дома, расположенному по адресу </t>
    </r>
    <r>
      <rPr>
        <u val="single"/>
        <sz val="10"/>
        <rFont val="Arial"/>
        <family val="2"/>
      </rPr>
      <t>Бирюкова, 7</t>
    </r>
  </si>
  <si>
    <t>Собственники жилых помещений ____________________________</t>
  </si>
  <si>
    <t>Восстановления освещения по подвалу</t>
  </si>
  <si>
    <t>Утепление чердачного перекрытия</t>
  </si>
  <si>
    <t>Ремонт кровли</t>
  </si>
  <si>
    <t>Адрес и № дома</t>
  </si>
  <si>
    <t>Клюева, 20</t>
  </si>
  <si>
    <t>Бирюкова,6</t>
  </si>
  <si>
    <t>Бирюкова,11</t>
  </si>
  <si>
    <t>Смена тамбурных дверных блоков</t>
  </si>
  <si>
    <t>Бирюкова,3</t>
  </si>
  <si>
    <t>Бирюкова,5</t>
  </si>
  <si>
    <t>Бирюкова,7</t>
  </si>
  <si>
    <t>Итого затраты на выполнение планового текущего ремонта</t>
  </si>
  <si>
    <t>Итого непредвиденных расходов</t>
  </si>
  <si>
    <t>Затраты на содержание УК</t>
  </si>
  <si>
    <t>ИТОГО ПО ФОНДУ</t>
  </si>
  <si>
    <t>Утверждаю"</t>
  </si>
  <si>
    <t>Директор ООО УК"Энергия"</t>
  </si>
  <si>
    <t>__________________ С.Г.Казаркина</t>
  </si>
  <si>
    <t>Согласовано"</t>
  </si>
  <si>
    <t>Глава администрации</t>
  </si>
  <si>
    <t>Октябрьского района</t>
  </si>
  <si>
    <t>_______________ В.В.Неверов</t>
  </si>
  <si>
    <t xml:space="preserve">План по текущему ремонту </t>
  </si>
  <si>
    <t>по ООО УК"Энергия" на 2010 год.</t>
  </si>
  <si>
    <t>Главный бухгалтер _____________________________</t>
  </si>
  <si>
    <t>Ремонт крылец</t>
  </si>
  <si>
    <t>шт/м2</t>
  </si>
  <si>
    <t>Ремонт печей</t>
  </si>
  <si>
    <t xml:space="preserve">  12/18</t>
  </si>
  <si>
    <t>ремонт печей</t>
  </si>
  <si>
    <t xml:space="preserve"> 12/18</t>
  </si>
  <si>
    <t>УТВЕРЖДАЮ</t>
  </si>
  <si>
    <t>_________________________ С.Г.Казаркина</t>
  </si>
  <si>
    <t>Расчет суммы на проведение планового текущего ремонта на 2010 год.</t>
  </si>
  <si>
    <t>Исполнитель : Г.В.Славкина</t>
  </si>
  <si>
    <t>Инженер ПТО ____________________________________</t>
  </si>
  <si>
    <r>
      <t xml:space="preserve">жилого дома, расположенному по адресу </t>
    </r>
    <r>
      <rPr>
        <u val="single"/>
        <sz val="10"/>
        <rFont val="Arial"/>
        <family val="2"/>
      </rPr>
      <t>Бирюкова, 11</t>
    </r>
  </si>
  <si>
    <r>
      <t xml:space="preserve">жилого дома, расположенному по адресу </t>
    </r>
    <r>
      <rPr>
        <u val="single"/>
        <sz val="10"/>
        <rFont val="Arial"/>
        <family val="2"/>
      </rPr>
      <t>Бирюкова, 3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</si>
</sst>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 quotePrefix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 quotePrefix="1">
      <alignment horizontal="left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 quotePrefix="1">
      <alignment horizontal="left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2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 quotePrefix="1">
      <alignment horizontal="left" wrapText="1"/>
    </xf>
    <xf numFmtId="0" fontId="0" fillId="0" borderId="0" xfId="0" applyFill="1" applyBorder="1" applyAlignment="1">
      <alignment/>
    </xf>
    <xf numFmtId="0" fontId="0" fillId="0" borderId="5" xfId="0" applyBorder="1" applyAlignment="1" quotePrefix="1">
      <alignment horizontal="left"/>
    </xf>
    <xf numFmtId="0" fontId="0" fillId="0" borderId="0" xfId="0" applyBorder="1" applyAlignment="1">
      <alignment/>
    </xf>
    <xf numFmtId="0" fontId="0" fillId="0" borderId="8" xfId="0" applyBorder="1" applyAlignment="1">
      <alignment wrapText="1"/>
    </xf>
    <xf numFmtId="0" fontId="0" fillId="0" borderId="5" xfId="0" applyBorder="1" applyAlignment="1" quotePrefix="1">
      <alignment horizontal="left" wrapText="1"/>
    </xf>
    <xf numFmtId="0" fontId="0" fillId="0" borderId="8" xfId="0" applyBorder="1" applyAlignment="1" quotePrefix="1">
      <alignment horizontal="left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Border="1" applyAlignment="1">
      <alignment horizontal="left" wrapText="1"/>
    </xf>
    <xf numFmtId="0" fontId="0" fillId="0" borderId="26" xfId="0" applyBorder="1" applyAlignment="1">
      <alignment/>
    </xf>
    <xf numFmtId="0" fontId="0" fillId="0" borderId="7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8" xfId="0" applyBorder="1" applyAlignment="1" quotePrefix="1">
      <alignment horizontal="left"/>
    </xf>
    <xf numFmtId="0" fontId="0" fillId="0" borderId="23" xfId="0" applyBorder="1" applyAlignment="1">
      <alignment/>
    </xf>
    <xf numFmtId="0" fontId="0" fillId="0" borderId="0" xfId="0" applyAlignment="1" quotePrefix="1">
      <alignment horizontal="left"/>
    </xf>
    <xf numFmtId="0" fontId="0" fillId="0" borderId="17" xfId="0" applyFill="1" applyBorder="1" applyAlignment="1">
      <alignment/>
    </xf>
    <xf numFmtId="0" fontId="0" fillId="0" borderId="23" xfId="0" applyBorder="1" applyAlignment="1" quotePrefix="1">
      <alignment horizontal="left"/>
    </xf>
    <xf numFmtId="0" fontId="0" fillId="0" borderId="23" xfId="0" applyBorder="1" applyAlignment="1">
      <alignment horizontal="left"/>
    </xf>
    <xf numFmtId="0" fontId="2" fillId="0" borderId="0" xfId="0" applyFont="1" applyBorder="1" applyAlignment="1">
      <alignment/>
    </xf>
    <xf numFmtId="2" fontId="2" fillId="0" borderId="13" xfId="0" applyNumberFormat="1" applyFont="1" applyBorder="1" applyAlignment="1">
      <alignment/>
    </xf>
    <xf numFmtId="2" fontId="2" fillId="0" borderId="16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" fillId="0" borderId="4" xfId="0" applyFont="1" applyBorder="1" applyAlignment="1">
      <alignment/>
    </xf>
    <xf numFmtId="2" fontId="2" fillId="0" borderId="4" xfId="0" applyNumberFormat="1" applyFont="1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6" xfId="0" applyBorder="1" applyAlignment="1" quotePrefix="1">
      <alignment horizontal="left"/>
    </xf>
    <xf numFmtId="0" fontId="0" fillId="0" borderId="9" xfId="0" applyBorder="1" applyAlignment="1" quotePrefix="1">
      <alignment horizontal="left"/>
    </xf>
    <xf numFmtId="0" fontId="2" fillId="0" borderId="17" xfId="0" applyFont="1" applyBorder="1" applyAlignment="1">
      <alignment/>
    </xf>
    <xf numFmtId="0" fontId="2" fillId="0" borderId="17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 quotePrefix="1">
      <alignment horizontal="left"/>
    </xf>
    <xf numFmtId="0" fontId="0" fillId="0" borderId="2" xfId="0" applyFill="1" applyBorder="1" applyAlignment="1">
      <alignment horizontal="left"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2" fontId="2" fillId="0" borderId="12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2" fontId="2" fillId="0" borderId="15" xfId="0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8" xfId="0" applyFill="1" applyBorder="1" applyAlignment="1">
      <alignment wrapText="1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0" xfId="0" applyFill="1" applyBorder="1" applyAlignment="1">
      <alignment horizontal="left" wrapText="1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 quotePrefix="1">
      <alignment horizontal="left" wrapText="1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8" xfId="0" applyFill="1" applyBorder="1" applyAlignment="1" quotePrefix="1">
      <alignment horizontal="left"/>
    </xf>
    <xf numFmtId="0" fontId="0" fillId="0" borderId="23" xfId="0" applyFill="1" applyBorder="1" applyAlignment="1">
      <alignment wrapText="1"/>
    </xf>
    <xf numFmtId="0" fontId="0" fillId="0" borderId="23" xfId="0" applyFill="1" applyBorder="1" applyAlignment="1">
      <alignment/>
    </xf>
    <xf numFmtId="0" fontId="0" fillId="0" borderId="23" xfId="0" applyFill="1" applyBorder="1" applyAlignment="1" quotePrefix="1">
      <alignment horizontal="left"/>
    </xf>
    <xf numFmtId="0" fontId="0" fillId="0" borderId="23" xfId="0" applyFill="1" applyBorder="1" applyAlignment="1">
      <alignment horizontal="left"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2" fontId="2" fillId="0" borderId="13" xfId="0" applyNumberFormat="1" applyFont="1" applyFill="1" applyBorder="1" applyAlignment="1">
      <alignment/>
    </xf>
    <xf numFmtId="2" fontId="2" fillId="0" borderId="17" xfId="0" applyNumberFormat="1" applyFont="1" applyFill="1" applyBorder="1" applyAlignment="1">
      <alignment/>
    </xf>
    <xf numFmtId="2" fontId="2" fillId="0" borderId="19" xfId="0" applyNumberFormat="1" applyFont="1" applyFill="1" applyBorder="1" applyAlignment="1">
      <alignment/>
    </xf>
    <xf numFmtId="0" fontId="0" fillId="0" borderId="27" xfId="0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2" fontId="2" fillId="0" borderId="16" xfId="0" applyNumberFormat="1" applyFont="1" applyFill="1" applyBorder="1" applyAlignment="1">
      <alignment/>
    </xf>
    <xf numFmtId="0" fontId="0" fillId="0" borderId="0" xfId="0" applyFont="1" applyFill="1" applyAlignment="1" quotePrefix="1">
      <alignment horizontal="left"/>
    </xf>
    <xf numFmtId="0" fontId="0" fillId="0" borderId="0" xfId="0" applyFont="1" applyFill="1" applyAlignment="1">
      <alignment/>
    </xf>
    <xf numFmtId="0" fontId="0" fillId="0" borderId="2" xfId="0" applyFill="1" applyBorder="1" applyAlignment="1">
      <alignment wrapText="1"/>
    </xf>
    <xf numFmtId="0" fontId="0" fillId="0" borderId="20" xfId="0" applyFill="1" applyBorder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2" fontId="2" fillId="0" borderId="17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29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5" xfId="0" applyFill="1" applyBorder="1" applyAlignment="1" quotePrefix="1">
      <alignment horizontal="left" wrapText="1"/>
    </xf>
    <xf numFmtId="0" fontId="0" fillId="0" borderId="2" xfId="0" applyFill="1" applyBorder="1" applyAlignment="1" quotePrefix="1">
      <alignment horizontal="left" wrapText="1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 wrapText="1"/>
    </xf>
    <xf numFmtId="0" fontId="0" fillId="0" borderId="36" xfId="0" applyFill="1" applyBorder="1" applyAlignment="1">
      <alignment horizontal="center" wrapText="1"/>
    </xf>
    <xf numFmtId="0" fontId="2" fillId="0" borderId="36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 quotePrefix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3" xfId="0" applyBorder="1" applyAlignment="1" quotePrefix="1">
      <alignment horizontal="center"/>
    </xf>
    <xf numFmtId="0" fontId="0" fillId="0" borderId="34" xfId="0" applyBorder="1" applyAlignment="1" quotePrefix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 quotePrefix="1">
      <alignment horizontal="center"/>
    </xf>
    <xf numFmtId="0" fontId="0" fillId="0" borderId="9" xfId="0" applyBorder="1" applyAlignment="1" quotePrefix="1">
      <alignment horizontal="center"/>
    </xf>
    <xf numFmtId="0" fontId="0" fillId="0" borderId="7" xfId="0" applyBorder="1" applyAlignment="1">
      <alignment horizontal="center"/>
    </xf>
    <xf numFmtId="0" fontId="2" fillId="0" borderId="31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0" fillId="0" borderId="0" xfId="0" applyFill="1" applyAlignment="1" quotePrefix="1">
      <alignment horizontal="right"/>
    </xf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3" xfId="0" applyFill="1" applyBorder="1" applyAlignment="1" quotePrefix="1">
      <alignment horizontal="center"/>
    </xf>
    <xf numFmtId="0" fontId="0" fillId="0" borderId="34" xfId="0" applyFill="1" applyBorder="1" applyAlignment="1" quotePrefix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N29"/>
  <sheetViews>
    <sheetView workbookViewId="0" topLeftCell="J1">
      <selection activeCell="F21" sqref="F21"/>
    </sheetView>
  </sheetViews>
  <sheetFormatPr defaultColWidth="9.140625" defaultRowHeight="12.75"/>
  <cols>
    <col min="1" max="1" width="4.00390625" style="0" customWidth="1"/>
    <col min="2" max="2" width="17.00390625" style="0" customWidth="1"/>
    <col min="3" max="3" width="12.00390625" style="0" customWidth="1"/>
    <col min="4" max="5" width="8.8515625" style="0" customWidth="1"/>
    <col min="6" max="6" width="8.57421875" style="0" customWidth="1"/>
    <col min="7" max="7" width="15.421875" style="0" customWidth="1"/>
    <col min="8" max="8" width="13.28125" style="0" customWidth="1"/>
    <col min="9" max="9" width="11.421875" style="0" customWidth="1"/>
    <col min="10" max="10" width="13.28125" style="0" customWidth="1"/>
    <col min="11" max="11" width="12.28125" style="0" customWidth="1"/>
    <col min="12" max="12" width="12.57421875" style="0" customWidth="1"/>
    <col min="13" max="13" width="12.140625" style="0" customWidth="1"/>
    <col min="14" max="14" width="14.28125" style="0" customWidth="1"/>
  </cols>
  <sheetData>
    <row r="2" spans="12:14" ht="12.75">
      <c r="L2" s="167" t="s">
        <v>143</v>
      </c>
      <c r="M2" s="167"/>
      <c r="N2" s="167"/>
    </row>
    <row r="3" spans="12:14" ht="12.75">
      <c r="L3" s="167" t="s">
        <v>128</v>
      </c>
      <c r="M3" s="167"/>
      <c r="N3" s="167"/>
    </row>
    <row r="4" spans="12:14" ht="12.75">
      <c r="L4" s="167" t="s">
        <v>144</v>
      </c>
      <c r="M4" s="167"/>
      <c r="N4" s="167"/>
    </row>
    <row r="5" ht="12.75">
      <c r="M5" s="76"/>
    </row>
    <row r="6" spans="1:14" ht="12.75">
      <c r="A6" s="168" t="s">
        <v>145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</row>
    <row r="8" spans="1:14" s="15" customFormat="1" ht="132.75" customHeight="1">
      <c r="A8" s="4" t="s">
        <v>28</v>
      </c>
      <c r="B8" s="4" t="s">
        <v>29</v>
      </c>
      <c r="C8" s="5" t="s">
        <v>30</v>
      </c>
      <c r="D8" s="5" t="s">
        <v>50</v>
      </c>
      <c r="E8" s="5" t="s">
        <v>31</v>
      </c>
      <c r="F8" s="5" t="s">
        <v>51</v>
      </c>
      <c r="G8" s="4" t="s">
        <v>52</v>
      </c>
      <c r="H8" s="5" t="s">
        <v>53</v>
      </c>
      <c r="I8" s="6" t="s">
        <v>32</v>
      </c>
      <c r="J8" s="5" t="s">
        <v>54</v>
      </c>
      <c r="K8" s="5" t="s">
        <v>55</v>
      </c>
      <c r="L8" s="5" t="s">
        <v>56</v>
      </c>
      <c r="M8" s="4" t="s">
        <v>57</v>
      </c>
      <c r="N8" s="14" t="s">
        <v>58</v>
      </c>
    </row>
    <row r="9" spans="1:14" ht="12.7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7">
        <v>9</v>
      </c>
      <c r="J9" s="7">
        <v>10</v>
      </c>
      <c r="K9" s="2">
        <v>11</v>
      </c>
      <c r="L9" s="2">
        <v>12</v>
      </c>
      <c r="M9" s="2">
        <v>13</v>
      </c>
      <c r="N9" s="2">
        <v>14</v>
      </c>
    </row>
    <row r="10" spans="1:14" s="82" customFormat="1" ht="12.75">
      <c r="A10" s="88">
        <v>1</v>
      </c>
      <c r="B10" s="88" t="s">
        <v>33</v>
      </c>
      <c r="C10" s="154">
        <v>525.1</v>
      </c>
      <c r="D10" s="154">
        <v>5.18</v>
      </c>
      <c r="E10" s="154"/>
      <c r="F10" s="154"/>
      <c r="G10" s="154"/>
      <c r="H10" s="154">
        <f>(C10*D10+E10*F10)*12+G10</f>
        <v>32640.216</v>
      </c>
      <c r="I10" s="165">
        <f>H10*14.9%</f>
        <v>4863.392184</v>
      </c>
      <c r="J10" s="165">
        <f>H10-I10</f>
        <v>27776.823816</v>
      </c>
      <c r="K10" s="154">
        <v>-12454.06</v>
      </c>
      <c r="L10" s="165">
        <f>J10+K10</f>
        <v>15322.763816</v>
      </c>
      <c r="M10" s="165">
        <f>L10*0.2</f>
        <v>3064.5527632000003</v>
      </c>
      <c r="N10" s="165">
        <f>L10-M10</f>
        <v>12258.211052800001</v>
      </c>
    </row>
    <row r="11" spans="1:14" s="82" customFormat="1" ht="12.75">
      <c r="A11" s="88">
        <v>2</v>
      </c>
      <c r="B11" s="166" t="s">
        <v>34</v>
      </c>
      <c r="C11" s="154">
        <v>534.2</v>
      </c>
      <c r="D11" s="154">
        <v>5.18</v>
      </c>
      <c r="E11" s="154"/>
      <c r="F11" s="154"/>
      <c r="G11" s="154"/>
      <c r="H11" s="154">
        <f aca="true" t="shared" si="0" ref="H11:H25">(C11*D11+E11*F11)*12+G11</f>
        <v>33205.872</v>
      </c>
      <c r="I11" s="165">
        <f aca="true" t="shared" si="1" ref="I11:I25">H11*14.9%</f>
        <v>4947.674928</v>
      </c>
      <c r="J11" s="165">
        <f aca="true" t="shared" si="2" ref="J11:J25">H11-I11</f>
        <v>28258.197072000003</v>
      </c>
      <c r="K11" s="154">
        <v>22659.76</v>
      </c>
      <c r="L11" s="165">
        <f aca="true" t="shared" si="3" ref="L11:L24">J11+K11</f>
        <v>50917.957072000005</v>
      </c>
      <c r="M11" s="165">
        <f aca="true" t="shared" si="4" ref="M11:M25">L11*0.2</f>
        <v>10183.591414400002</v>
      </c>
      <c r="N11" s="165">
        <f aca="true" t="shared" si="5" ref="N11:N24">L11-M11</f>
        <v>40734.36565760001</v>
      </c>
    </row>
    <row r="12" spans="1:14" s="82" customFormat="1" ht="12.75">
      <c r="A12" s="88">
        <v>3</v>
      </c>
      <c r="B12" s="166" t="s">
        <v>35</v>
      </c>
      <c r="C12" s="154">
        <v>9003.2</v>
      </c>
      <c r="D12" s="154">
        <v>3.81</v>
      </c>
      <c r="E12" s="154"/>
      <c r="F12" s="154"/>
      <c r="G12" s="154">
        <f>100*5*11</f>
        <v>5500</v>
      </c>
      <c r="H12" s="154">
        <f t="shared" si="0"/>
        <v>417126.304</v>
      </c>
      <c r="I12" s="165">
        <f t="shared" si="1"/>
        <v>62151.819296</v>
      </c>
      <c r="J12" s="165">
        <f t="shared" si="2"/>
        <v>354974.484704</v>
      </c>
      <c r="K12" s="154">
        <v>107287.18</v>
      </c>
      <c r="L12" s="165">
        <f t="shared" si="3"/>
        <v>462261.664704</v>
      </c>
      <c r="M12" s="165">
        <f t="shared" si="4"/>
        <v>92452.3329408</v>
      </c>
      <c r="N12" s="165">
        <f t="shared" si="5"/>
        <v>369809.3317632</v>
      </c>
    </row>
    <row r="13" spans="1:14" s="82" customFormat="1" ht="12.75">
      <c r="A13" s="88">
        <v>4</v>
      </c>
      <c r="B13" s="166" t="s">
        <v>36</v>
      </c>
      <c r="C13" s="154">
        <v>476.8</v>
      </c>
      <c r="D13" s="154">
        <v>5.18</v>
      </c>
      <c r="E13" s="154"/>
      <c r="F13" s="154"/>
      <c r="G13" s="154"/>
      <c r="H13" s="154">
        <f t="shared" si="0"/>
        <v>29637.888</v>
      </c>
      <c r="I13" s="165">
        <f t="shared" si="1"/>
        <v>4416.045311999999</v>
      </c>
      <c r="J13" s="165">
        <f t="shared" si="2"/>
        <v>25221.842688</v>
      </c>
      <c r="K13" s="154">
        <v>32109.78</v>
      </c>
      <c r="L13" s="165">
        <f t="shared" si="3"/>
        <v>57331.622688</v>
      </c>
      <c r="M13" s="165">
        <f t="shared" si="4"/>
        <v>11466.324537600001</v>
      </c>
      <c r="N13" s="165">
        <f t="shared" si="5"/>
        <v>45865.298150400005</v>
      </c>
    </row>
    <row r="14" spans="1:14" s="82" customFormat="1" ht="12.75">
      <c r="A14" s="88">
        <v>5</v>
      </c>
      <c r="B14" s="166" t="s">
        <v>37</v>
      </c>
      <c r="C14" s="154">
        <v>523.6</v>
      </c>
      <c r="D14" s="154">
        <v>5.18</v>
      </c>
      <c r="E14" s="154"/>
      <c r="F14" s="154"/>
      <c r="G14" s="154"/>
      <c r="H14" s="154">
        <f t="shared" si="0"/>
        <v>32546.976000000002</v>
      </c>
      <c r="I14" s="165">
        <f t="shared" si="1"/>
        <v>4849.4994240000005</v>
      </c>
      <c r="J14" s="165">
        <f t="shared" si="2"/>
        <v>27697.476576</v>
      </c>
      <c r="K14" s="154">
        <v>55052.16</v>
      </c>
      <c r="L14" s="165">
        <f t="shared" si="3"/>
        <v>82749.636576</v>
      </c>
      <c r="M14" s="165">
        <f t="shared" si="4"/>
        <v>16549.927315200002</v>
      </c>
      <c r="N14" s="165">
        <f t="shared" si="5"/>
        <v>66199.70926080001</v>
      </c>
    </row>
    <row r="15" spans="1:14" s="82" customFormat="1" ht="12.75">
      <c r="A15" s="88">
        <v>6</v>
      </c>
      <c r="B15" s="166" t="s">
        <v>38</v>
      </c>
      <c r="C15" s="154">
        <v>6932</v>
      </c>
      <c r="D15" s="154">
        <v>3.81</v>
      </c>
      <c r="E15" s="154"/>
      <c r="F15" s="154"/>
      <c r="G15" s="154">
        <f>100*3*11</f>
        <v>3300</v>
      </c>
      <c r="H15" s="154">
        <f t="shared" si="0"/>
        <v>320231.04000000004</v>
      </c>
      <c r="I15" s="165">
        <f t="shared" si="1"/>
        <v>47714.424960000004</v>
      </c>
      <c r="J15" s="165">
        <f t="shared" si="2"/>
        <v>272516.61504000006</v>
      </c>
      <c r="K15" s="154">
        <v>115744.38</v>
      </c>
      <c r="L15" s="165">
        <f t="shared" si="3"/>
        <v>388260.99504000007</v>
      </c>
      <c r="M15" s="165">
        <f t="shared" si="4"/>
        <v>77652.19900800001</v>
      </c>
      <c r="N15" s="165">
        <f t="shared" si="5"/>
        <v>310608.79603200004</v>
      </c>
    </row>
    <row r="16" spans="1:14" ht="12.75">
      <c r="A16" s="3">
        <v>7</v>
      </c>
      <c r="B16" s="10" t="s">
        <v>39</v>
      </c>
      <c r="C16" s="2">
        <v>3689.8</v>
      </c>
      <c r="D16" s="2">
        <v>3.81</v>
      </c>
      <c r="E16" s="2"/>
      <c r="F16" s="2"/>
      <c r="G16" s="2">
        <v>1100</v>
      </c>
      <c r="H16" s="2">
        <f t="shared" si="0"/>
        <v>169797.65600000002</v>
      </c>
      <c r="I16" s="8">
        <f t="shared" si="1"/>
        <v>25299.850744000003</v>
      </c>
      <c r="J16" s="8">
        <f t="shared" si="2"/>
        <v>144497.80525600002</v>
      </c>
      <c r="K16" s="2">
        <v>42144.04</v>
      </c>
      <c r="L16" s="8">
        <f t="shared" si="3"/>
        <v>186641.84525600003</v>
      </c>
      <c r="M16" s="8">
        <f t="shared" si="4"/>
        <v>37328.36905120001</v>
      </c>
      <c r="N16" s="8">
        <f t="shared" si="5"/>
        <v>149313.4762048</v>
      </c>
    </row>
    <row r="17" spans="1:14" ht="12.75">
      <c r="A17" s="3">
        <v>8</v>
      </c>
      <c r="B17" s="9" t="s">
        <v>40</v>
      </c>
      <c r="C17" s="2">
        <v>3711.3</v>
      </c>
      <c r="D17" s="2">
        <v>3.81</v>
      </c>
      <c r="E17" s="2"/>
      <c r="F17" s="2"/>
      <c r="G17" s="2">
        <v>1100</v>
      </c>
      <c r="H17" s="2">
        <f t="shared" si="0"/>
        <v>170780.63600000003</v>
      </c>
      <c r="I17" s="8">
        <f t="shared" si="1"/>
        <v>25446.314764000002</v>
      </c>
      <c r="J17" s="8">
        <f t="shared" si="2"/>
        <v>145334.32123600002</v>
      </c>
      <c r="K17" s="2">
        <v>-59525.89</v>
      </c>
      <c r="L17" s="8">
        <f t="shared" si="3"/>
        <v>85808.43123600002</v>
      </c>
      <c r="M17" s="8">
        <f t="shared" si="4"/>
        <v>17161.686247200003</v>
      </c>
      <c r="N17" s="8">
        <f t="shared" si="5"/>
        <v>68646.74498880001</v>
      </c>
    </row>
    <row r="18" spans="1:14" ht="12.75">
      <c r="A18" s="3">
        <v>9</v>
      </c>
      <c r="B18" s="9" t="s">
        <v>41</v>
      </c>
      <c r="C18" s="2">
        <v>9596.8</v>
      </c>
      <c r="D18" s="2">
        <v>3.81</v>
      </c>
      <c r="E18" s="2"/>
      <c r="F18" s="2"/>
      <c r="G18" s="2">
        <f>100*5*11</f>
        <v>5500</v>
      </c>
      <c r="H18" s="2">
        <f t="shared" si="0"/>
        <v>444265.696</v>
      </c>
      <c r="I18" s="8">
        <f t="shared" si="1"/>
        <v>66195.588704</v>
      </c>
      <c r="J18" s="8">
        <f t="shared" si="2"/>
        <v>378070.107296</v>
      </c>
      <c r="K18" s="2">
        <v>-116776</v>
      </c>
      <c r="L18" s="8">
        <f t="shared" si="3"/>
        <v>261294.107296</v>
      </c>
      <c r="M18" s="8">
        <f t="shared" si="4"/>
        <v>52258.8214592</v>
      </c>
      <c r="N18" s="8">
        <f t="shared" si="5"/>
        <v>209035.2858368</v>
      </c>
    </row>
    <row r="19" spans="1:14" ht="12.75">
      <c r="A19" s="3">
        <v>10</v>
      </c>
      <c r="B19" s="9" t="s">
        <v>42</v>
      </c>
      <c r="C19" s="2">
        <v>9455.3</v>
      </c>
      <c r="D19" s="2">
        <v>3.81</v>
      </c>
      <c r="E19" s="2"/>
      <c r="F19" s="2"/>
      <c r="G19" s="2">
        <f>100*5*11</f>
        <v>5500</v>
      </c>
      <c r="H19" s="2">
        <f t="shared" si="0"/>
        <v>437796.316</v>
      </c>
      <c r="I19" s="8">
        <f t="shared" si="1"/>
        <v>65231.651084</v>
      </c>
      <c r="J19" s="8">
        <f t="shared" si="2"/>
        <v>372564.664916</v>
      </c>
      <c r="K19" s="2">
        <v>-33700.49</v>
      </c>
      <c r="L19" s="8">
        <f t="shared" si="3"/>
        <v>338864.174916</v>
      </c>
      <c r="M19" s="8">
        <f t="shared" si="4"/>
        <v>67772.8349832</v>
      </c>
      <c r="N19" s="8">
        <f t="shared" si="5"/>
        <v>271091.3399328</v>
      </c>
    </row>
    <row r="20" spans="1:14" ht="12.75">
      <c r="A20" s="3">
        <v>11</v>
      </c>
      <c r="B20" s="9" t="s">
        <v>43</v>
      </c>
      <c r="C20" s="2">
        <v>12715.9</v>
      </c>
      <c r="D20" s="2">
        <v>3.81</v>
      </c>
      <c r="E20" s="2"/>
      <c r="F20" s="2"/>
      <c r="G20" s="2">
        <f>6*100*11</f>
        <v>6600</v>
      </c>
      <c r="H20" s="2">
        <f t="shared" si="0"/>
        <v>587970.948</v>
      </c>
      <c r="I20" s="8">
        <f t="shared" si="1"/>
        <v>87607.67125199999</v>
      </c>
      <c r="J20" s="8">
        <f t="shared" si="2"/>
        <v>500363.276748</v>
      </c>
      <c r="K20" s="2">
        <v>-181754.24</v>
      </c>
      <c r="L20" s="8">
        <f t="shared" si="3"/>
        <v>318609.036748</v>
      </c>
      <c r="M20" s="8">
        <f t="shared" si="4"/>
        <v>63721.80734960001</v>
      </c>
      <c r="N20" s="8">
        <f t="shared" si="5"/>
        <v>254887.2293984</v>
      </c>
    </row>
    <row r="21" spans="1:14" ht="12.75">
      <c r="A21" s="3">
        <v>12</v>
      </c>
      <c r="B21" s="10" t="s">
        <v>44</v>
      </c>
      <c r="C21" s="2">
        <v>11595.5</v>
      </c>
      <c r="D21" s="2">
        <v>3.81</v>
      </c>
      <c r="E21" s="2"/>
      <c r="F21" s="2"/>
      <c r="G21" s="2">
        <v>5500</v>
      </c>
      <c r="H21" s="2">
        <f t="shared" si="0"/>
        <v>535646.26</v>
      </c>
      <c r="I21" s="8">
        <f t="shared" si="1"/>
        <v>79811.29274</v>
      </c>
      <c r="J21" s="8">
        <f t="shared" si="2"/>
        <v>455834.96726</v>
      </c>
      <c r="K21" s="2">
        <v>-237989.12</v>
      </c>
      <c r="L21" s="8">
        <f t="shared" si="3"/>
        <v>217845.84726</v>
      </c>
      <c r="M21" s="8">
        <f t="shared" si="4"/>
        <v>43569.169452</v>
      </c>
      <c r="N21" s="8">
        <f t="shared" si="5"/>
        <v>174276.677808</v>
      </c>
    </row>
    <row r="22" spans="1:14" ht="12.75">
      <c r="A22" s="3">
        <v>13</v>
      </c>
      <c r="B22" s="10" t="s">
        <v>45</v>
      </c>
      <c r="C22" s="2">
        <v>3878.2</v>
      </c>
      <c r="D22" s="2">
        <v>3.81</v>
      </c>
      <c r="E22" s="2"/>
      <c r="F22" s="2"/>
      <c r="G22" s="2">
        <f>2*100*11</f>
        <v>2200</v>
      </c>
      <c r="H22" s="2">
        <f t="shared" si="0"/>
        <v>179511.304</v>
      </c>
      <c r="I22" s="8">
        <f t="shared" si="1"/>
        <v>26747.184296</v>
      </c>
      <c r="J22" s="8">
        <f t="shared" si="2"/>
        <v>152764.119704</v>
      </c>
      <c r="K22" s="2">
        <v>45687.67</v>
      </c>
      <c r="L22" s="8">
        <f t="shared" si="3"/>
        <v>198451.789704</v>
      </c>
      <c r="M22" s="8">
        <f t="shared" si="4"/>
        <v>39690.3579408</v>
      </c>
      <c r="N22" s="8">
        <f t="shared" si="5"/>
        <v>158761.4317632</v>
      </c>
    </row>
    <row r="23" spans="1:14" ht="12.75">
      <c r="A23" s="3">
        <v>14</v>
      </c>
      <c r="B23" s="9" t="s">
        <v>46</v>
      </c>
      <c r="C23" s="2">
        <v>2668.1</v>
      </c>
      <c r="D23" s="2">
        <v>3.81</v>
      </c>
      <c r="E23" s="2"/>
      <c r="F23" s="2"/>
      <c r="G23" s="2">
        <f>2*100*11</f>
        <v>2200</v>
      </c>
      <c r="H23" s="2">
        <f t="shared" si="0"/>
        <v>124185.53199999999</v>
      </c>
      <c r="I23" s="8">
        <f t="shared" si="1"/>
        <v>18503.644267999996</v>
      </c>
      <c r="J23" s="8">
        <f t="shared" si="2"/>
        <v>105681.887732</v>
      </c>
      <c r="K23" s="2">
        <v>81423.31</v>
      </c>
      <c r="L23" s="8">
        <f t="shared" si="3"/>
        <v>187105.197732</v>
      </c>
      <c r="M23" s="8">
        <f t="shared" si="4"/>
        <v>37421.0395464</v>
      </c>
      <c r="N23" s="8">
        <f t="shared" si="5"/>
        <v>149684.1581856</v>
      </c>
    </row>
    <row r="24" spans="1:14" ht="12.75">
      <c r="A24" s="3">
        <v>15</v>
      </c>
      <c r="B24" s="10" t="s">
        <v>47</v>
      </c>
      <c r="C24" s="2">
        <v>23101</v>
      </c>
      <c r="D24" s="2">
        <v>3.81</v>
      </c>
      <c r="E24" s="2"/>
      <c r="F24" s="2"/>
      <c r="G24" s="2">
        <f>11*100*11</f>
        <v>12100</v>
      </c>
      <c r="H24" s="2">
        <f t="shared" si="0"/>
        <v>1068277.72</v>
      </c>
      <c r="I24" s="8">
        <f t="shared" si="1"/>
        <v>159173.38027999998</v>
      </c>
      <c r="J24" s="8">
        <f t="shared" si="2"/>
        <v>909104.33972</v>
      </c>
      <c r="K24" s="2">
        <v>676071.18</v>
      </c>
      <c r="L24" s="8">
        <f t="shared" si="3"/>
        <v>1585175.5197200002</v>
      </c>
      <c r="M24" s="8">
        <f t="shared" si="4"/>
        <v>317035.1039440001</v>
      </c>
      <c r="N24" s="8">
        <f t="shared" si="5"/>
        <v>1268140.4157760001</v>
      </c>
    </row>
    <row r="25" spans="1:14" ht="12.75">
      <c r="A25" s="3">
        <v>16</v>
      </c>
      <c r="B25" s="10" t="s">
        <v>48</v>
      </c>
      <c r="C25" s="2">
        <v>12274.1</v>
      </c>
      <c r="D25" s="2">
        <v>3.81</v>
      </c>
      <c r="E25" s="2"/>
      <c r="F25" s="2"/>
      <c r="G25" s="2">
        <f>6*100*11</f>
        <v>6600</v>
      </c>
      <c r="H25" s="2">
        <f t="shared" si="0"/>
        <v>567771.8520000001</v>
      </c>
      <c r="I25" s="8">
        <f t="shared" si="1"/>
        <v>84598.005948</v>
      </c>
      <c r="J25" s="8">
        <f t="shared" si="2"/>
        <v>483173.84605200007</v>
      </c>
      <c r="K25" s="2">
        <v>-54848.36</v>
      </c>
      <c r="L25" s="8">
        <f>J25+K25</f>
        <v>428325.4860520001</v>
      </c>
      <c r="M25" s="8">
        <f t="shared" si="4"/>
        <v>85665.09721040002</v>
      </c>
      <c r="N25" s="8">
        <f>L25-M25</f>
        <v>342660.38884160004</v>
      </c>
    </row>
    <row r="26" spans="1:14" ht="13.5">
      <c r="A26" s="11"/>
      <c r="B26" s="11" t="s">
        <v>49</v>
      </c>
      <c r="C26" s="12">
        <f>SUM(C10:C25)</f>
        <v>110680.90000000001</v>
      </c>
      <c r="D26" s="12"/>
      <c r="E26" s="12"/>
      <c r="F26" s="12"/>
      <c r="G26" s="12">
        <f>SUM(G10:G25)</f>
        <v>57200</v>
      </c>
      <c r="H26" s="12">
        <f aca="true" t="shared" si="6" ref="H26:N26">SUM(H10:H25)</f>
        <v>5151392.216</v>
      </c>
      <c r="I26" s="13">
        <f t="shared" si="6"/>
        <v>767557.440184</v>
      </c>
      <c r="J26" s="13">
        <f t="shared" si="6"/>
        <v>4383834.775816</v>
      </c>
      <c r="K26" s="12">
        <f t="shared" si="6"/>
        <v>481131.29999999993</v>
      </c>
      <c r="L26" s="13">
        <f t="shared" si="6"/>
        <v>4864966.075816001</v>
      </c>
      <c r="M26" s="13">
        <f t="shared" si="6"/>
        <v>972993.2151632002</v>
      </c>
      <c r="N26" s="13">
        <f t="shared" si="6"/>
        <v>3891972.8606528006</v>
      </c>
    </row>
    <row r="28" spans="2:13" ht="12.75">
      <c r="B28" t="s">
        <v>146</v>
      </c>
      <c r="L28" s="16"/>
      <c r="M28" s="16"/>
    </row>
    <row r="29" spans="12:14" ht="12.75">
      <c r="L29" s="16"/>
      <c r="N29" s="16"/>
    </row>
  </sheetData>
  <mergeCells count="4">
    <mergeCell ref="L2:N2"/>
    <mergeCell ref="L3:N3"/>
    <mergeCell ref="L4:N4"/>
    <mergeCell ref="A6:N6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2:J18"/>
  <sheetViews>
    <sheetView workbookViewId="0" topLeftCell="A1">
      <selection activeCell="G24" sqref="G24"/>
    </sheetView>
  </sheetViews>
  <sheetFormatPr defaultColWidth="9.140625" defaultRowHeight="12.75"/>
  <cols>
    <col min="1" max="1" width="36.8515625" style="0" customWidth="1"/>
  </cols>
  <sheetData>
    <row r="2" spans="1:8" ht="12.75">
      <c r="A2" s="168" t="s">
        <v>15</v>
      </c>
      <c r="B2" s="168"/>
      <c r="C2" s="168"/>
      <c r="D2" s="168"/>
      <c r="E2" s="168"/>
      <c r="F2" s="168"/>
      <c r="G2" s="168"/>
      <c r="H2" s="168"/>
    </row>
    <row r="3" spans="1:8" ht="12.75">
      <c r="A3" s="169" t="s">
        <v>25</v>
      </c>
      <c r="B3" s="168"/>
      <c r="C3" s="168"/>
      <c r="D3" s="168"/>
      <c r="E3" s="168"/>
      <c r="F3" s="168"/>
      <c r="G3" s="168"/>
      <c r="H3" s="168"/>
    </row>
    <row r="4" spans="1:8" ht="12.75">
      <c r="A4" s="168" t="s">
        <v>17</v>
      </c>
      <c r="B4" s="168"/>
      <c r="C4" s="168"/>
      <c r="D4" s="168"/>
      <c r="E4" s="168"/>
      <c r="F4" s="168"/>
      <c r="G4" s="168"/>
      <c r="H4" s="168"/>
    </row>
    <row r="5" ht="13.5" thickBot="1"/>
    <row r="6" spans="1:8" ht="12.75">
      <c r="A6" s="177" t="s">
        <v>0</v>
      </c>
      <c r="B6" s="179" t="s">
        <v>1</v>
      </c>
      <c r="C6" s="179" t="s">
        <v>2</v>
      </c>
      <c r="D6" s="181" t="s">
        <v>3</v>
      </c>
      <c r="E6" s="179" t="s">
        <v>4</v>
      </c>
      <c r="F6" s="179"/>
      <c r="G6" s="179"/>
      <c r="H6" s="183"/>
    </row>
    <row r="7" spans="1:8" ht="13.5" thickBot="1">
      <c r="A7" s="178"/>
      <c r="B7" s="180"/>
      <c r="C7" s="180"/>
      <c r="D7" s="182"/>
      <c r="E7" s="43" t="s">
        <v>5</v>
      </c>
      <c r="F7" s="43" t="s">
        <v>6</v>
      </c>
      <c r="G7" s="43" t="s">
        <v>7</v>
      </c>
      <c r="H7" s="44" t="s">
        <v>8</v>
      </c>
    </row>
    <row r="8" spans="1:8" ht="12.75">
      <c r="A8" s="23" t="s">
        <v>98</v>
      </c>
      <c r="B8" s="24" t="s">
        <v>72</v>
      </c>
      <c r="C8" s="24">
        <v>150</v>
      </c>
      <c r="D8" s="24">
        <f>C8*320</f>
        <v>48000</v>
      </c>
      <c r="E8" s="24"/>
      <c r="F8" s="24">
        <v>48000</v>
      </c>
      <c r="G8" s="24"/>
      <c r="H8" s="25"/>
    </row>
    <row r="9" spans="1:8" ht="12.75">
      <c r="A9" s="18" t="s">
        <v>70</v>
      </c>
      <c r="B9" s="3" t="s">
        <v>63</v>
      </c>
      <c r="C9" s="3">
        <v>27</v>
      </c>
      <c r="D9" s="3">
        <v>96000</v>
      </c>
      <c r="E9" s="3"/>
      <c r="F9" s="3"/>
      <c r="G9" s="3">
        <f>96000/3</f>
        <v>32000</v>
      </c>
      <c r="H9" s="19">
        <f>D9-32000</f>
        <v>64000</v>
      </c>
    </row>
    <row r="10" spans="1:8" ht="13.5" thickBot="1">
      <c r="A10" s="26" t="s">
        <v>112</v>
      </c>
      <c r="B10" s="27" t="s">
        <v>72</v>
      </c>
      <c r="C10" s="27">
        <v>30</v>
      </c>
      <c r="D10" s="27">
        <v>14761.43</v>
      </c>
      <c r="E10" s="27">
        <v>14761.4</v>
      </c>
      <c r="F10" s="27"/>
      <c r="G10" s="27"/>
      <c r="H10" s="28"/>
    </row>
    <row r="11" spans="1:8" s="17" customFormat="1" ht="14.25" thickBot="1">
      <c r="A11" s="36" t="s">
        <v>9</v>
      </c>
      <c r="B11" s="37"/>
      <c r="C11" s="37"/>
      <c r="D11" s="37">
        <f>SUM(D8:D10)</f>
        <v>158761.43</v>
      </c>
      <c r="E11" s="37">
        <f>SUM(E8:E10)</f>
        <v>14761.4</v>
      </c>
      <c r="F11" s="37">
        <f>SUM(F8:F10)</f>
        <v>48000</v>
      </c>
      <c r="G11" s="37">
        <f>SUM(G8:G10)</f>
        <v>32000</v>
      </c>
      <c r="H11" s="39">
        <f>SUM(H8:H10)</f>
        <v>64000</v>
      </c>
    </row>
    <row r="12" spans="1:8" s="17" customFormat="1" ht="14.25" thickBot="1">
      <c r="A12" s="36" t="s">
        <v>11</v>
      </c>
      <c r="B12" s="37"/>
      <c r="C12" s="37"/>
      <c r="D12" s="37">
        <v>39690.36</v>
      </c>
      <c r="E12" s="37">
        <f>D12/4</f>
        <v>9922.59</v>
      </c>
      <c r="F12" s="37">
        <v>9922.59</v>
      </c>
      <c r="G12" s="37">
        <v>9922.59</v>
      </c>
      <c r="H12" s="39">
        <v>9922.59</v>
      </c>
    </row>
    <row r="13" spans="1:10" s="17" customFormat="1" ht="14.25" thickBot="1">
      <c r="A13" s="36" t="s">
        <v>10</v>
      </c>
      <c r="B13" s="37"/>
      <c r="C13" s="37"/>
      <c r="D13" s="37">
        <f>SUM(D11:D12)</f>
        <v>198451.78999999998</v>
      </c>
      <c r="E13" s="37">
        <f>SUM(E11:E12)</f>
        <v>24683.989999999998</v>
      </c>
      <c r="F13" s="37">
        <f>SUM(F11:F12)</f>
        <v>57922.59</v>
      </c>
      <c r="G13" s="37">
        <f>SUM(G11:G12)</f>
        <v>41922.59</v>
      </c>
      <c r="H13" s="39">
        <f>SUM(H11:H12)</f>
        <v>73922.59</v>
      </c>
      <c r="I13" s="77"/>
      <c r="J13" s="70"/>
    </row>
    <row r="16" spans="1:3" ht="12.75">
      <c r="A16" t="s">
        <v>12</v>
      </c>
      <c r="C16" t="s">
        <v>13</v>
      </c>
    </row>
    <row r="18" ht="12.75">
      <c r="A18" t="s">
        <v>14</v>
      </c>
    </row>
  </sheetData>
  <mergeCells count="8">
    <mergeCell ref="A2:H2"/>
    <mergeCell ref="A3:H3"/>
    <mergeCell ref="A4:H4"/>
    <mergeCell ref="A6:A7"/>
    <mergeCell ref="B6:B7"/>
    <mergeCell ref="C6:C7"/>
    <mergeCell ref="D6:D7"/>
    <mergeCell ref="E6:H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A2:H18"/>
  <sheetViews>
    <sheetView workbookViewId="0" topLeftCell="A1">
      <selection activeCell="J13" sqref="J13"/>
    </sheetView>
  </sheetViews>
  <sheetFormatPr defaultColWidth="9.140625" defaultRowHeight="12.75"/>
  <cols>
    <col min="1" max="1" width="36.140625" style="0" customWidth="1"/>
  </cols>
  <sheetData>
    <row r="2" spans="1:8" ht="12.75">
      <c r="A2" s="168" t="s">
        <v>15</v>
      </c>
      <c r="B2" s="168"/>
      <c r="C2" s="168"/>
      <c r="D2" s="168"/>
      <c r="E2" s="168"/>
      <c r="F2" s="168"/>
      <c r="G2" s="168"/>
      <c r="H2" s="168"/>
    </row>
    <row r="3" spans="1:8" ht="12.75">
      <c r="A3" s="169" t="s">
        <v>26</v>
      </c>
      <c r="B3" s="168"/>
      <c r="C3" s="168"/>
      <c r="D3" s="168"/>
      <c r="E3" s="168"/>
      <c r="F3" s="168"/>
      <c r="G3" s="168"/>
      <c r="H3" s="168"/>
    </row>
    <row r="4" spans="1:8" ht="12.75">
      <c r="A4" s="168" t="s">
        <v>17</v>
      </c>
      <c r="B4" s="168"/>
      <c r="C4" s="168"/>
      <c r="D4" s="168"/>
      <c r="E4" s="168"/>
      <c r="F4" s="168"/>
      <c r="G4" s="168"/>
      <c r="H4" s="168"/>
    </row>
    <row r="5" ht="13.5" thickBot="1"/>
    <row r="6" spans="1:8" ht="12.75">
      <c r="A6" s="177" t="s">
        <v>0</v>
      </c>
      <c r="B6" s="179" t="s">
        <v>1</v>
      </c>
      <c r="C6" s="179" t="s">
        <v>2</v>
      </c>
      <c r="D6" s="181" t="s">
        <v>3</v>
      </c>
      <c r="E6" s="179" t="s">
        <v>4</v>
      </c>
      <c r="F6" s="179"/>
      <c r="G6" s="179"/>
      <c r="H6" s="183"/>
    </row>
    <row r="7" spans="1:8" ht="13.5" thickBot="1">
      <c r="A7" s="178"/>
      <c r="B7" s="180"/>
      <c r="C7" s="180"/>
      <c r="D7" s="182"/>
      <c r="E7" s="43" t="s">
        <v>5</v>
      </c>
      <c r="F7" s="43" t="s">
        <v>6</v>
      </c>
      <c r="G7" s="43" t="s">
        <v>7</v>
      </c>
      <c r="H7" s="44" t="s">
        <v>8</v>
      </c>
    </row>
    <row r="8" spans="1:8" ht="12.75">
      <c r="A8" s="23" t="s">
        <v>99</v>
      </c>
      <c r="B8" s="24" t="s">
        <v>72</v>
      </c>
      <c r="C8" s="24">
        <v>150</v>
      </c>
      <c r="D8" s="24">
        <f>C8*320</f>
        <v>48000</v>
      </c>
      <c r="E8" s="24"/>
      <c r="F8" s="24">
        <v>48000</v>
      </c>
      <c r="G8" s="24"/>
      <c r="H8" s="25"/>
    </row>
    <row r="9" spans="1:8" ht="12.75">
      <c r="A9" s="18" t="s">
        <v>100</v>
      </c>
      <c r="B9" s="3" t="s">
        <v>72</v>
      </c>
      <c r="C9" s="3">
        <v>9</v>
      </c>
      <c r="D9" s="3">
        <v>12000</v>
      </c>
      <c r="E9" s="3">
        <v>12000</v>
      </c>
      <c r="F9" s="3"/>
      <c r="G9" s="3"/>
      <c r="H9" s="19"/>
    </row>
    <row r="10" spans="1:8" ht="13.5" thickBot="1">
      <c r="A10" s="26" t="s">
        <v>101</v>
      </c>
      <c r="B10" s="27" t="s">
        <v>63</v>
      </c>
      <c r="C10" s="27">
        <v>2</v>
      </c>
      <c r="D10" s="27">
        <v>89684.16</v>
      </c>
      <c r="E10" s="27"/>
      <c r="F10" s="27"/>
      <c r="G10" s="27">
        <f>D10/2</f>
        <v>44842.08</v>
      </c>
      <c r="H10" s="28">
        <v>44842.08</v>
      </c>
    </row>
    <row r="11" spans="1:8" s="17" customFormat="1" ht="14.25" thickBot="1">
      <c r="A11" s="146" t="s">
        <v>9</v>
      </c>
      <c r="B11" s="80"/>
      <c r="C11" s="80"/>
      <c r="D11" s="80">
        <f>SUM(D8:D10)</f>
        <v>149684.16</v>
      </c>
      <c r="E11" s="80">
        <f>SUM(E8:E10)</f>
        <v>12000</v>
      </c>
      <c r="F11" s="80">
        <f>SUM(F8:F10)</f>
        <v>48000</v>
      </c>
      <c r="G11" s="80">
        <f>SUM(G8:G10)</f>
        <v>44842.08</v>
      </c>
      <c r="H11" s="147">
        <f>SUM(H8:H10)</f>
        <v>44842.08</v>
      </c>
    </row>
    <row r="12" spans="1:8" s="70" customFormat="1" ht="14.25" thickBot="1">
      <c r="A12" s="152" t="s">
        <v>11</v>
      </c>
      <c r="B12" s="151"/>
      <c r="C12" s="151"/>
      <c r="D12" s="151">
        <v>37421.04</v>
      </c>
      <c r="E12" s="151">
        <f>D12/4</f>
        <v>9355.26</v>
      </c>
      <c r="F12" s="151">
        <v>9355.26</v>
      </c>
      <c r="G12" s="151">
        <v>9355.26</v>
      </c>
      <c r="H12" s="153">
        <v>9355.26</v>
      </c>
    </row>
    <row r="13" spans="1:8" s="17" customFormat="1" ht="14.25" thickBot="1">
      <c r="A13" s="32" t="s">
        <v>10</v>
      </c>
      <c r="B13" s="33"/>
      <c r="C13" s="33"/>
      <c r="D13" s="33">
        <f>SUM(D11:D12)</f>
        <v>187105.2</v>
      </c>
      <c r="E13" s="33">
        <f>SUM(E11:E12)</f>
        <v>21355.260000000002</v>
      </c>
      <c r="F13" s="33">
        <f>SUM(F11:F12)</f>
        <v>57355.26</v>
      </c>
      <c r="G13" s="33">
        <f>SUM(G11:G12)</f>
        <v>54197.340000000004</v>
      </c>
      <c r="H13" s="35">
        <f>SUM(H11:H12)</f>
        <v>54197.340000000004</v>
      </c>
    </row>
    <row r="16" spans="1:3" ht="12.75">
      <c r="A16" t="s">
        <v>12</v>
      </c>
      <c r="C16" t="s">
        <v>13</v>
      </c>
    </row>
    <row r="18" ht="12.75">
      <c r="A18" t="s">
        <v>14</v>
      </c>
    </row>
  </sheetData>
  <mergeCells count="8">
    <mergeCell ref="A2:H2"/>
    <mergeCell ref="A3:H3"/>
    <mergeCell ref="A4:H4"/>
    <mergeCell ref="A6:A7"/>
    <mergeCell ref="B6:B7"/>
    <mergeCell ref="C6:C7"/>
    <mergeCell ref="D6:D7"/>
    <mergeCell ref="E6:H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A2:H19"/>
  <sheetViews>
    <sheetView workbookViewId="0" topLeftCell="A1">
      <selection activeCell="G24" sqref="G24"/>
    </sheetView>
  </sheetViews>
  <sheetFormatPr defaultColWidth="9.140625" defaultRowHeight="12.75"/>
  <cols>
    <col min="1" max="1" width="36.57421875" style="0" customWidth="1"/>
  </cols>
  <sheetData>
    <row r="2" spans="1:8" ht="12.75">
      <c r="A2" s="168" t="s">
        <v>15</v>
      </c>
      <c r="B2" s="168"/>
      <c r="C2" s="168"/>
      <c r="D2" s="168"/>
      <c r="E2" s="168"/>
      <c r="F2" s="168"/>
      <c r="G2" s="168"/>
      <c r="H2" s="168"/>
    </row>
    <row r="3" spans="1:8" ht="12.75">
      <c r="A3" s="169" t="s">
        <v>27</v>
      </c>
      <c r="B3" s="168"/>
      <c r="C3" s="168"/>
      <c r="D3" s="168"/>
      <c r="E3" s="168"/>
      <c r="F3" s="168"/>
      <c r="G3" s="168"/>
      <c r="H3" s="168"/>
    </row>
    <row r="4" spans="1:8" ht="12.75">
      <c r="A4" s="168" t="s">
        <v>17</v>
      </c>
      <c r="B4" s="168"/>
      <c r="C4" s="168"/>
      <c r="D4" s="168"/>
      <c r="E4" s="168"/>
      <c r="F4" s="168"/>
      <c r="G4" s="168"/>
      <c r="H4" s="168"/>
    </row>
    <row r="5" ht="13.5" thickBot="1"/>
    <row r="6" spans="1:8" ht="12.75">
      <c r="A6" s="177" t="s">
        <v>0</v>
      </c>
      <c r="B6" s="179" t="s">
        <v>1</v>
      </c>
      <c r="C6" s="179" t="s">
        <v>2</v>
      </c>
      <c r="D6" s="181" t="s">
        <v>3</v>
      </c>
      <c r="E6" s="179" t="s">
        <v>4</v>
      </c>
      <c r="F6" s="179"/>
      <c r="G6" s="179"/>
      <c r="H6" s="183"/>
    </row>
    <row r="7" spans="1:8" ht="13.5" thickBot="1">
      <c r="A7" s="178"/>
      <c r="B7" s="180"/>
      <c r="C7" s="180"/>
      <c r="D7" s="182"/>
      <c r="E7" s="43" t="s">
        <v>5</v>
      </c>
      <c r="F7" s="43" t="s">
        <v>6</v>
      </c>
      <c r="G7" s="43" t="s">
        <v>7</v>
      </c>
      <c r="H7" s="44" t="s">
        <v>8</v>
      </c>
    </row>
    <row r="8" spans="1:8" ht="12.75">
      <c r="A8" s="23" t="s">
        <v>102</v>
      </c>
      <c r="B8" s="24" t="s">
        <v>63</v>
      </c>
      <c r="C8" s="24">
        <v>5</v>
      </c>
      <c r="D8" s="24">
        <v>110000</v>
      </c>
      <c r="E8" s="24"/>
      <c r="F8" s="24"/>
      <c r="G8" s="24">
        <v>110000</v>
      </c>
      <c r="H8" s="25"/>
    </row>
    <row r="9" spans="1:8" ht="12.75">
      <c r="A9" s="18" t="s">
        <v>103</v>
      </c>
      <c r="B9" s="3" t="s">
        <v>63</v>
      </c>
      <c r="C9" s="3">
        <v>1</v>
      </c>
      <c r="D9" s="3">
        <v>107000</v>
      </c>
      <c r="E9" s="3">
        <v>107000</v>
      </c>
      <c r="F9" s="3"/>
      <c r="G9" s="3"/>
      <c r="H9" s="19"/>
    </row>
    <row r="10" spans="1:8" ht="12.75">
      <c r="A10" s="20" t="s">
        <v>104</v>
      </c>
      <c r="B10" s="3" t="s">
        <v>72</v>
      </c>
      <c r="C10" s="3">
        <v>300</v>
      </c>
      <c r="D10" s="3">
        <f>C10*320</f>
        <v>96000</v>
      </c>
      <c r="E10" s="3"/>
      <c r="F10" s="3">
        <v>96000</v>
      </c>
      <c r="G10" s="3"/>
      <c r="H10" s="19"/>
    </row>
    <row r="11" spans="1:8" ht="13.5" thickBot="1">
      <c r="A11" s="26" t="s">
        <v>60</v>
      </c>
      <c r="B11" s="27" t="s">
        <v>72</v>
      </c>
      <c r="C11" s="27">
        <v>200</v>
      </c>
      <c r="D11" s="27">
        <v>56809.33</v>
      </c>
      <c r="E11" s="27"/>
      <c r="F11" s="27"/>
      <c r="G11" s="27"/>
      <c r="H11" s="28">
        <v>56809.33</v>
      </c>
    </row>
    <row r="12" spans="1:8" s="17" customFormat="1" ht="14.25" thickBot="1">
      <c r="A12" s="36" t="s">
        <v>9</v>
      </c>
      <c r="B12" s="37"/>
      <c r="C12" s="37"/>
      <c r="D12" s="37">
        <f>SUM(D8:D11)</f>
        <v>369809.33</v>
      </c>
      <c r="E12" s="37">
        <f>SUM(E8:E11)</f>
        <v>107000</v>
      </c>
      <c r="F12" s="37">
        <f>SUM(F8:F11)</f>
        <v>96000</v>
      </c>
      <c r="G12" s="37">
        <f>SUM(G8:G11)</f>
        <v>110000</v>
      </c>
      <c r="H12" s="39">
        <f>SUM(H8:H11)</f>
        <v>56809.33</v>
      </c>
    </row>
    <row r="13" spans="1:8" ht="13.5" thickBot="1">
      <c r="A13" s="29" t="s">
        <v>11</v>
      </c>
      <c r="B13" s="30"/>
      <c r="C13" s="30"/>
      <c r="D13" s="30">
        <v>92452.33</v>
      </c>
      <c r="E13" s="30">
        <f>D13/4</f>
        <v>23113.0825</v>
      </c>
      <c r="F13" s="30">
        <v>23113.08</v>
      </c>
      <c r="G13" s="30">
        <v>23113.08</v>
      </c>
      <c r="H13" s="31">
        <v>23113.08</v>
      </c>
    </row>
    <row r="14" spans="1:8" s="17" customFormat="1" ht="14.25" thickBot="1">
      <c r="A14" s="36" t="s">
        <v>10</v>
      </c>
      <c r="B14" s="37"/>
      <c r="C14" s="37"/>
      <c r="D14" s="37">
        <f>SUM(D12:D13)</f>
        <v>462261.66000000003</v>
      </c>
      <c r="E14" s="37">
        <f>SUM(E12:E13)</f>
        <v>130113.0825</v>
      </c>
      <c r="F14" s="37">
        <f>SUM(F12:F13)</f>
        <v>119113.08</v>
      </c>
      <c r="G14" s="37">
        <f>SUM(G12:G13)</f>
        <v>133113.08000000002</v>
      </c>
      <c r="H14" s="39">
        <f>SUM(H12:H13)</f>
        <v>79922.41</v>
      </c>
    </row>
    <row r="17" spans="1:3" ht="12.75">
      <c r="A17" t="s">
        <v>12</v>
      </c>
      <c r="C17" t="s">
        <v>13</v>
      </c>
    </row>
    <row r="19" ht="12.75">
      <c r="A19" t="s">
        <v>14</v>
      </c>
    </row>
  </sheetData>
  <mergeCells count="8">
    <mergeCell ref="A2:H2"/>
    <mergeCell ref="A3:H3"/>
    <mergeCell ref="A4:H4"/>
    <mergeCell ref="A6:A7"/>
    <mergeCell ref="B6:B7"/>
    <mergeCell ref="C6:C7"/>
    <mergeCell ref="D6:D7"/>
    <mergeCell ref="E6:H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</sheetPr>
  <dimension ref="A2:H21"/>
  <sheetViews>
    <sheetView workbookViewId="0" topLeftCell="A1">
      <selection activeCell="G21" sqref="G21"/>
    </sheetView>
  </sheetViews>
  <sheetFormatPr defaultColWidth="9.140625" defaultRowHeight="12.75"/>
  <cols>
    <col min="1" max="1" width="36.8515625" style="0" customWidth="1"/>
  </cols>
  <sheetData>
    <row r="2" spans="1:8" ht="12.75">
      <c r="A2" s="168" t="s">
        <v>15</v>
      </c>
      <c r="B2" s="168"/>
      <c r="C2" s="168"/>
      <c r="D2" s="168"/>
      <c r="E2" s="168"/>
      <c r="F2" s="168"/>
      <c r="G2" s="168"/>
      <c r="H2" s="168"/>
    </row>
    <row r="3" spans="1:8" ht="12.75">
      <c r="A3" s="169" t="s">
        <v>148</v>
      </c>
      <c r="B3" s="168"/>
      <c r="C3" s="168"/>
      <c r="D3" s="168"/>
      <c r="E3" s="168"/>
      <c r="F3" s="168"/>
      <c r="G3" s="168"/>
      <c r="H3" s="168"/>
    </row>
    <row r="4" spans="1:8" ht="12.75">
      <c r="A4" s="168" t="s">
        <v>17</v>
      </c>
      <c r="B4" s="168"/>
      <c r="C4" s="168"/>
      <c r="D4" s="168"/>
      <c r="E4" s="168"/>
      <c r="F4" s="168"/>
      <c r="G4" s="168"/>
      <c r="H4" s="168"/>
    </row>
    <row r="5" ht="13.5" thickBot="1"/>
    <row r="6" spans="1:8" ht="12.75">
      <c r="A6" s="177" t="s">
        <v>0</v>
      </c>
      <c r="B6" s="179" t="s">
        <v>1</v>
      </c>
      <c r="C6" s="179" t="s">
        <v>2</v>
      </c>
      <c r="D6" s="181" t="s">
        <v>3</v>
      </c>
      <c r="E6" s="179" t="s">
        <v>4</v>
      </c>
      <c r="F6" s="179"/>
      <c r="G6" s="179"/>
      <c r="H6" s="183"/>
    </row>
    <row r="7" spans="1:8" ht="13.5" thickBot="1">
      <c r="A7" s="178"/>
      <c r="B7" s="180"/>
      <c r="C7" s="180"/>
      <c r="D7" s="182"/>
      <c r="E7" s="43" t="s">
        <v>5</v>
      </c>
      <c r="F7" s="43" t="s">
        <v>6</v>
      </c>
      <c r="G7" s="43" t="s">
        <v>7</v>
      </c>
      <c r="H7" s="44" t="s">
        <v>8</v>
      </c>
    </row>
    <row r="8" spans="1:8" ht="12.75">
      <c r="A8" s="52" t="s">
        <v>105</v>
      </c>
      <c r="B8" s="53" t="s">
        <v>63</v>
      </c>
      <c r="C8" s="53">
        <v>20</v>
      </c>
      <c r="D8" s="53">
        <v>102000</v>
      </c>
      <c r="E8" s="53">
        <v>102000</v>
      </c>
      <c r="F8" s="53"/>
      <c r="G8" s="53"/>
      <c r="H8" s="54"/>
    </row>
    <row r="9" spans="1:8" ht="12.75">
      <c r="A9" s="18" t="s">
        <v>96</v>
      </c>
      <c r="B9" s="3" t="s">
        <v>61</v>
      </c>
      <c r="C9" s="3">
        <v>120</v>
      </c>
      <c r="D9" s="3">
        <v>25000</v>
      </c>
      <c r="E9" s="3"/>
      <c r="F9" s="3">
        <v>25000</v>
      </c>
      <c r="G9" s="3"/>
      <c r="H9" s="19"/>
    </row>
    <row r="10" spans="1:8" ht="12.75">
      <c r="A10" s="18" t="s">
        <v>106</v>
      </c>
      <c r="B10" s="3" t="s">
        <v>63</v>
      </c>
      <c r="C10" s="3">
        <v>1</v>
      </c>
      <c r="D10" s="3">
        <v>7500</v>
      </c>
      <c r="E10" s="3"/>
      <c r="F10" s="3"/>
      <c r="G10" s="3"/>
      <c r="H10" s="19">
        <v>7500</v>
      </c>
    </row>
    <row r="11" spans="1:8" ht="12.75">
      <c r="A11" s="18" t="s">
        <v>71</v>
      </c>
      <c r="B11" s="3" t="s">
        <v>61</v>
      </c>
      <c r="C11" s="3">
        <v>30</v>
      </c>
      <c r="D11" s="3">
        <v>19000</v>
      </c>
      <c r="E11" s="3"/>
      <c r="F11" s="3"/>
      <c r="G11" s="3"/>
      <c r="H11" s="19">
        <v>19000</v>
      </c>
    </row>
    <row r="12" spans="1:8" ht="12.75">
      <c r="A12" s="18" t="s">
        <v>60</v>
      </c>
      <c r="B12" s="3" t="s">
        <v>61</v>
      </c>
      <c r="C12" s="3">
        <v>500</v>
      </c>
      <c r="D12" s="3">
        <v>124108.8</v>
      </c>
      <c r="E12" s="3"/>
      <c r="F12" s="3"/>
      <c r="G12" s="3">
        <v>124108.8</v>
      </c>
      <c r="H12" s="19"/>
    </row>
    <row r="13" spans="1:8" ht="13.5" thickBot="1">
      <c r="A13" s="65" t="s">
        <v>119</v>
      </c>
      <c r="B13" s="56" t="s">
        <v>63</v>
      </c>
      <c r="C13" s="56">
        <v>3</v>
      </c>
      <c r="D13" s="56">
        <v>33000</v>
      </c>
      <c r="E13" s="56"/>
      <c r="F13" s="56"/>
      <c r="G13" s="56"/>
      <c r="H13" s="57">
        <v>33000</v>
      </c>
    </row>
    <row r="14" spans="1:8" s="70" customFormat="1" ht="14.25" thickBot="1">
      <c r="A14" s="36" t="s">
        <v>9</v>
      </c>
      <c r="B14" s="37"/>
      <c r="C14" s="37"/>
      <c r="D14" s="37">
        <f>SUM(D8:D13)</f>
        <v>310608.8</v>
      </c>
      <c r="E14" s="37">
        <f>SUM(E8:E13)</f>
        <v>102000</v>
      </c>
      <c r="F14" s="37">
        <f>SUM(F8:F13)</f>
        <v>25000</v>
      </c>
      <c r="G14" s="37">
        <f>SUM(G8:G13)</f>
        <v>124108.8</v>
      </c>
      <c r="H14" s="39">
        <f>SUM(H8:H13)</f>
        <v>59500</v>
      </c>
    </row>
    <row r="15" spans="1:8" s="70" customFormat="1" ht="14.25" thickBot="1">
      <c r="A15" s="80" t="s">
        <v>11</v>
      </c>
      <c r="B15" s="80"/>
      <c r="C15" s="80"/>
      <c r="D15" s="80">
        <v>77652.2</v>
      </c>
      <c r="E15" s="80">
        <f>D15/4</f>
        <v>19413.05</v>
      </c>
      <c r="F15" s="80">
        <v>19413.05</v>
      </c>
      <c r="G15" s="80">
        <v>19413.05</v>
      </c>
      <c r="H15" s="80">
        <v>19413.05</v>
      </c>
    </row>
    <row r="16" spans="1:8" s="70" customFormat="1" ht="14.25" thickBot="1">
      <c r="A16" s="36" t="s">
        <v>10</v>
      </c>
      <c r="B16" s="37"/>
      <c r="C16" s="37"/>
      <c r="D16" s="37">
        <f>SUM(D14:D15)</f>
        <v>388261</v>
      </c>
      <c r="E16" s="37">
        <f>SUM(E14:E15)</f>
        <v>121413.05</v>
      </c>
      <c r="F16" s="37">
        <f>SUM(F14:F15)</f>
        <v>44413.05</v>
      </c>
      <c r="G16" s="37">
        <f>SUM(G14:G15)</f>
        <v>143521.85</v>
      </c>
      <c r="H16" s="39">
        <f>SUM(H14:H15)</f>
        <v>78913.05</v>
      </c>
    </row>
    <row r="19" spans="1:3" ht="12.75">
      <c r="A19" t="s">
        <v>12</v>
      </c>
      <c r="C19" t="s">
        <v>13</v>
      </c>
    </row>
    <row r="21" ht="12.75">
      <c r="A21" s="66" t="s">
        <v>111</v>
      </c>
    </row>
  </sheetData>
  <mergeCells count="8">
    <mergeCell ref="A2:H2"/>
    <mergeCell ref="A3:H3"/>
    <mergeCell ref="A4:H4"/>
    <mergeCell ref="A6:A7"/>
    <mergeCell ref="B6:B7"/>
    <mergeCell ref="C6:C7"/>
    <mergeCell ref="D6:D7"/>
    <mergeCell ref="E6:H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2:H16"/>
  <sheetViews>
    <sheetView workbookViewId="0" topLeftCell="A1">
      <selection activeCell="F19" sqref="F19"/>
    </sheetView>
  </sheetViews>
  <sheetFormatPr defaultColWidth="9.140625" defaultRowHeight="12.75"/>
  <cols>
    <col min="1" max="1" width="36.140625" style="0" customWidth="1"/>
  </cols>
  <sheetData>
    <row r="2" spans="1:8" ht="12.75">
      <c r="A2" s="168" t="s">
        <v>15</v>
      </c>
      <c r="B2" s="168"/>
      <c r="C2" s="168"/>
      <c r="D2" s="168"/>
      <c r="E2" s="168"/>
      <c r="F2" s="168"/>
      <c r="G2" s="168"/>
      <c r="H2" s="168"/>
    </row>
    <row r="3" spans="1:8" ht="12.75">
      <c r="A3" s="169" t="s">
        <v>149</v>
      </c>
      <c r="B3" s="168"/>
      <c r="C3" s="168"/>
      <c r="D3" s="168"/>
      <c r="E3" s="168"/>
      <c r="F3" s="168"/>
      <c r="G3" s="168"/>
      <c r="H3" s="168"/>
    </row>
    <row r="4" spans="1:8" ht="12.75">
      <c r="A4" s="168" t="s">
        <v>17</v>
      </c>
      <c r="B4" s="168"/>
      <c r="C4" s="168"/>
      <c r="D4" s="168"/>
      <c r="E4" s="168"/>
      <c r="F4" s="168"/>
      <c r="G4" s="168"/>
      <c r="H4" s="168"/>
    </row>
    <row r="5" ht="13.5" thickBot="1"/>
    <row r="6" spans="1:8" ht="12.75">
      <c r="A6" s="177" t="s">
        <v>0</v>
      </c>
      <c r="B6" s="179" t="s">
        <v>1</v>
      </c>
      <c r="C6" s="179" t="s">
        <v>2</v>
      </c>
      <c r="D6" s="181" t="s">
        <v>3</v>
      </c>
      <c r="E6" s="179" t="s">
        <v>4</v>
      </c>
      <c r="F6" s="179"/>
      <c r="G6" s="179"/>
      <c r="H6" s="183"/>
    </row>
    <row r="7" spans="1:8" ht="13.5" thickBot="1">
      <c r="A7" s="178"/>
      <c r="B7" s="180"/>
      <c r="C7" s="180"/>
      <c r="D7" s="182"/>
      <c r="E7" s="43" t="s">
        <v>5</v>
      </c>
      <c r="F7" s="43" t="s">
        <v>6</v>
      </c>
      <c r="G7" s="43" t="s">
        <v>7</v>
      </c>
      <c r="H7" s="44" t="s">
        <v>8</v>
      </c>
    </row>
    <row r="8" spans="1:8" ht="13.5" thickBot="1">
      <c r="A8" s="29" t="s">
        <v>105</v>
      </c>
      <c r="B8" s="30" t="s">
        <v>63</v>
      </c>
      <c r="C8" s="30">
        <v>8</v>
      </c>
      <c r="D8" s="30">
        <v>12258.21</v>
      </c>
      <c r="E8" s="30">
        <v>12258.21</v>
      </c>
      <c r="F8" s="30"/>
      <c r="G8" s="30"/>
      <c r="H8" s="31"/>
    </row>
    <row r="9" spans="1:8" s="17" customFormat="1" ht="14.25" thickBot="1">
      <c r="A9" s="36" t="s">
        <v>9</v>
      </c>
      <c r="B9" s="37"/>
      <c r="C9" s="37"/>
      <c r="D9" s="37">
        <f>SUM(D8)</f>
        <v>12258.21</v>
      </c>
      <c r="E9" s="37">
        <f>SUM(E8)</f>
        <v>12258.21</v>
      </c>
      <c r="F9" s="37"/>
      <c r="G9" s="37"/>
      <c r="H9" s="39"/>
    </row>
    <row r="10" spans="1:8" ht="14.25" thickBot="1">
      <c r="A10" s="36" t="s">
        <v>11</v>
      </c>
      <c r="B10" s="30"/>
      <c r="C10" s="30"/>
      <c r="D10" s="37">
        <v>3064.55</v>
      </c>
      <c r="E10" s="38">
        <f>D10/4</f>
        <v>766.1375</v>
      </c>
      <c r="F10" s="38">
        <v>766.14</v>
      </c>
      <c r="G10" s="38">
        <v>766.14</v>
      </c>
      <c r="H10" s="71">
        <v>766.14</v>
      </c>
    </row>
    <row r="11" spans="1:8" s="17" customFormat="1" ht="14.25" thickBot="1">
      <c r="A11" s="36" t="s">
        <v>10</v>
      </c>
      <c r="B11" s="37"/>
      <c r="C11" s="37"/>
      <c r="D11" s="37">
        <f>SUM(D9:D10)</f>
        <v>15322.759999999998</v>
      </c>
      <c r="E11" s="37">
        <f>SUM(E9:E10)</f>
        <v>13024.3475</v>
      </c>
      <c r="F11" s="37"/>
      <c r="G11" s="37"/>
      <c r="H11" s="39"/>
    </row>
    <row r="14" spans="1:3" ht="12.75">
      <c r="A14" t="s">
        <v>12</v>
      </c>
      <c r="C14" t="s">
        <v>13</v>
      </c>
    </row>
    <row r="16" ht="12.75">
      <c r="A16" t="s">
        <v>14</v>
      </c>
    </row>
  </sheetData>
  <mergeCells count="8">
    <mergeCell ref="A2:H2"/>
    <mergeCell ref="A3:H3"/>
    <mergeCell ref="A4:H4"/>
    <mergeCell ref="A6:A7"/>
    <mergeCell ref="B6:B7"/>
    <mergeCell ref="C6:C7"/>
    <mergeCell ref="D6:D7"/>
    <mergeCell ref="E6:H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2:I16"/>
  <sheetViews>
    <sheetView workbookViewId="0" topLeftCell="A1">
      <selection activeCell="H17" sqref="H17"/>
    </sheetView>
  </sheetViews>
  <sheetFormatPr defaultColWidth="9.140625" defaultRowHeight="12.75"/>
  <cols>
    <col min="1" max="1" width="46.7109375" style="0" customWidth="1"/>
  </cols>
  <sheetData>
    <row r="2" spans="1:8" ht="12.75">
      <c r="A2" s="168" t="s">
        <v>15</v>
      </c>
      <c r="B2" s="168"/>
      <c r="C2" s="168"/>
      <c r="D2" s="168"/>
      <c r="E2" s="168"/>
      <c r="F2" s="168"/>
      <c r="G2" s="168"/>
      <c r="H2" s="168"/>
    </row>
    <row r="3" spans="1:8" ht="12.75">
      <c r="A3" s="169" t="s">
        <v>107</v>
      </c>
      <c r="B3" s="168"/>
      <c r="C3" s="168"/>
      <c r="D3" s="168"/>
      <c r="E3" s="168"/>
      <c r="F3" s="168"/>
      <c r="G3" s="168"/>
      <c r="H3" s="168"/>
    </row>
    <row r="4" spans="1:8" ht="12.75">
      <c r="A4" s="168" t="s">
        <v>17</v>
      </c>
      <c r="B4" s="168"/>
      <c r="C4" s="168"/>
      <c r="D4" s="168"/>
      <c r="E4" s="168"/>
      <c r="F4" s="168"/>
      <c r="G4" s="168"/>
      <c r="H4" s="168"/>
    </row>
    <row r="5" ht="13.5" thickBot="1"/>
    <row r="6" spans="1:8" ht="12.75">
      <c r="A6" s="177" t="s">
        <v>0</v>
      </c>
      <c r="B6" s="179" t="s">
        <v>1</v>
      </c>
      <c r="C6" s="179" t="s">
        <v>2</v>
      </c>
      <c r="D6" s="181" t="s">
        <v>3</v>
      </c>
      <c r="E6" s="179" t="s">
        <v>4</v>
      </c>
      <c r="F6" s="179"/>
      <c r="G6" s="179"/>
      <c r="H6" s="183"/>
    </row>
    <row r="7" spans="1:8" ht="13.5" thickBot="1">
      <c r="A7" s="178"/>
      <c r="B7" s="180"/>
      <c r="C7" s="180"/>
      <c r="D7" s="182"/>
      <c r="E7" s="43" t="s">
        <v>5</v>
      </c>
      <c r="F7" s="43" t="s">
        <v>6</v>
      </c>
      <c r="G7" s="43" t="s">
        <v>7</v>
      </c>
      <c r="H7" s="44" t="s">
        <v>8</v>
      </c>
    </row>
    <row r="8" spans="1:8" ht="13.5" thickBot="1">
      <c r="A8" s="26" t="s">
        <v>108</v>
      </c>
      <c r="B8" s="27" t="s">
        <v>63</v>
      </c>
      <c r="C8" s="27">
        <v>2</v>
      </c>
      <c r="D8" s="27">
        <v>40734.37</v>
      </c>
      <c r="E8" s="27"/>
      <c r="F8" s="27"/>
      <c r="G8" s="27"/>
      <c r="H8" s="28"/>
    </row>
    <row r="9" spans="1:8" s="17" customFormat="1" ht="14.25" thickBot="1">
      <c r="A9" s="36" t="s">
        <v>9</v>
      </c>
      <c r="B9" s="37"/>
      <c r="C9" s="37"/>
      <c r="D9" s="37">
        <f>SUM(D8:D8)</f>
        <v>40734.37</v>
      </c>
      <c r="E9" s="37">
        <f>SUM(E8:E8)</f>
        <v>0</v>
      </c>
      <c r="F9" s="37">
        <f>D9/2</f>
        <v>20367.185</v>
      </c>
      <c r="G9" s="37">
        <v>20367.19</v>
      </c>
      <c r="H9" s="39"/>
    </row>
    <row r="10" spans="1:8" s="17" customFormat="1" ht="14.25" thickBot="1">
      <c r="A10" s="146" t="s">
        <v>11</v>
      </c>
      <c r="B10" s="80"/>
      <c r="C10" s="80"/>
      <c r="D10" s="80">
        <f>10183.59</f>
        <v>10183.59</v>
      </c>
      <c r="E10" s="148">
        <f>D10/4</f>
        <v>2545.8975</v>
      </c>
      <c r="F10" s="148">
        <v>2545.9</v>
      </c>
      <c r="G10" s="148">
        <v>2545.9</v>
      </c>
      <c r="H10" s="149">
        <v>2545.9</v>
      </c>
    </row>
    <row r="11" spans="1:9" s="17" customFormat="1" ht="14.25" thickBot="1">
      <c r="A11" s="36" t="s">
        <v>10</v>
      </c>
      <c r="B11" s="37"/>
      <c r="C11" s="37"/>
      <c r="D11" s="37">
        <f>SUM(D9:D10)</f>
        <v>50917.96000000001</v>
      </c>
      <c r="E11" s="38">
        <f>SUM(E9:E10)</f>
        <v>2545.8975</v>
      </c>
      <c r="F11" s="38">
        <f>SUM(F9:F10)</f>
        <v>22913.085000000003</v>
      </c>
      <c r="G11" s="38">
        <f>SUM(G9:G10)</f>
        <v>22913.09</v>
      </c>
      <c r="H11" s="71">
        <f>SUM(H9:H10)</f>
        <v>2545.9</v>
      </c>
      <c r="I11" s="73"/>
    </row>
    <row r="14" spans="1:3" ht="12.75">
      <c r="A14" t="s">
        <v>12</v>
      </c>
      <c r="C14" t="s">
        <v>13</v>
      </c>
    </row>
    <row r="16" ht="12.75">
      <c r="A16" t="s">
        <v>14</v>
      </c>
    </row>
  </sheetData>
  <mergeCells count="8">
    <mergeCell ref="A2:H2"/>
    <mergeCell ref="A3:H3"/>
    <mergeCell ref="A4:H4"/>
    <mergeCell ref="A6:A7"/>
    <mergeCell ref="B6:B7"/>
    <mergeCell ref="C6:C7"/>
    <mergeCell ref="D6:D7"/>
    <mergeCell ref="E6:H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1"/>
  </sheetPr>
  <dimension ref="A2:I17"/>
  <sheetViews>
    <sheetView workbookViewId="0" topLeftCell="A1">
      <selection activeCell="F21" sqref="F21"/>
    </sheetView>
  </sheetViews>
  <sheetFormatPr defaultColWidth="9.140625" defaultRowHeight="12.75"/>
  <cols>
    <col min="1" max="1" width="46.8515625" style="0" customWidth="1"/>
  </cols>
  <sheetData>
    <row r="2" spans="1:8" ht="12.75">
      <c r="A2" s="168" t="s">
        <v>15</v>
      </c>
      <c r="B2" s="168"/>
      <c r="C2" s="168"/>
      <c r="D2" s="168"/>
      <c r="E2" s="168"/>
      <c r="F2" s="168"/>
      <c r="G2" s="168"/>
      <c r="H2" s="168"/>
    </row>
    <row r="3" spans="1:8" ht="12.75">
      <c r="A3" s="169" t="s">
        <v>109</v>
      </c>
      <c r="B3" s="168"/>
      <c r="C3" s="168"/>
      <c r="D3" s="168"/>
      <c r="E3" s="168"/>
      <c r="F3" s="168"/>
      <c r="G3" s="168"/>
      <c r="H3" s="168"/>
    </row>
    <row r="4" spans="1:8" ht="12.75">
      <c r="A4" s="168" t="s">
        <v>17</v>
      </c>
      <c r="B4" s="168"/>
      <c r="C4" s="168"/>
      <c r="D4" s="168"/>
      <c r="E4" s="168"/>
      <c r="F4" s="168"/>
      <c r="G4" s="168"/>
      <c r="H4" s="168"/>
    </row>
    <row r="5" ht="13.5" thickBot="1"/>
    <row r="6" spans="1:8" ht="12.75">
      <c r="A6" s="177" t="s">
        <v>0</v>
      </c>
      <c r="B6" s="179" t="s">
        <v>1</v>
      </c>
      <c r="C6" s="179" t="s">
        <v>2</v>
      </c>
      <c r="D6" s="181" t="s">
        <v>3</v>
      </c>
      <c r="E6" s="179" t="s">
        <v>4</v>
      </c>
      <c r="F6" s="179"/>
      <c r="G6" s="179"/>
      <c r="H6" s="183"/>
    </row>
    <row r="7" spans="1:8" ht="13.5" thickBot="1">
      <c r="A7" s="178"/>
      <c r="B7" s="180"/>
      <c r="C7" s="180"/>
      <c r="D7" s="182"/>
      <c r="E7" s="43" t="s">
        <v>5</v>
      </c>
      <c r="F7" s="43" t="s">
        <v>6</v>
      </c>
      <c r="G7" s="43" t="s">
        <v>7</v>
      </c>
      <c r="H7" s="44" t="s">
        <v>8</v>
      </c>
    </row>
    <row r="8" spans="1:8" ht="12.75">
      <c r="A8" s="23" t="s">
        <v>105</v>
      </c>
      <c r="B8" s="24" t="s">
        <v>63</v>
      </c>
      <c r="C8" s="24">
        <v>8</v>
      </c>
      <c r="D8" s="24">
        <f>C8*4500</f>
        <v>36000</v>
      </c>
      <c r="E8" s="24">
        <v>36000</v>
      </c>
      <c r="F8" s="24"/>
      <c r="G8" s="24"/>
      <c r="H8" s="25"/>
    </row>
    <row r="9" spans="1:8" ht="13.5" thickBot="1">
      <c r="A9" s="65" t="s">
        <v>108</v>
      </c>
      <c r="B9" s="56" t="s">
        <v>63</v>
      </c>
      <c r="C9" s="56">
        <v>2</v>
      </c>
      <c r="D9" s="56">
        <v>30199.71</v>
      </c>
      <c r="E9" s="56"/>
      <c r="F9" s="56">
        <f>D9/2</f>
        <v>15099.855</v>
      </c>
      <c r="G9" s="56">
        <v>15099.86</v>
      </c>
      <c r="H9" s="57"/>
    </row>
    <row r="10" spans="1:8" s="17" customFormat="1" ht="14.25" thickBot="1">
      <c r="A10" s="36" t="s">
        <v>9</v>
      </c>
      <c r="B10" s="37"/>
      <c r="C10" s="37"/>
      <c r="D10" s="37">
        <f>SUM(D8:D9)</f>
        <v>66199.70999999999</v>
      </c>
      <c r="E10" s="38">
        <f>SUM(E8:E9)</f>
        <v>36000</v>
      </c>
      <c r="F10" s="38">
        <f>SUM(F8:F9)</f>
        <v>15099.855</v>
      </c>
      <c r="G10" s="38">
        <f>SUM(G8:G9)</f>
        <v>15099.86</v>
      </c>
      <c r="H10" s="71"/>
    </row>
    <row r="11" spans="1:8" s="17" customFormat="1" ht="14.25" thickBot="1">
      <c r="A11" s="146" t="s">
        <v>11</v>
      </c>
      <c r="B11" s="80"/>
      <c r="C11" s="80"/>
      <c r="D11" s="80">
        <v>16549.93</v>
      </c>
      <c r="E11" s="148">
        <f>D11/4</f>
        <v>4137.4825</v>
      </c>
      <c r="F11" s="148">
        <v>4137.48</v>
      </c>
      <c r="G11" s="148">
        <v>4137.48</v>
      </c>
      <c r="H11" s="149">
        <v>4137.48</v>
      </c>
    </row>
    <row r="12" spans="1:9" s="17" customFormat="1" ht="14.25" thickBot="1">
      <c r="A12" s="36" t="s">
        <v>10</v>
      </c>
      <c r="B12" s="37"/>
      <c r="C12" s="37"/>
      <c r="D12" s="37">
        <f>SUM(D10:D11)</f>
        <v>82749.63999999998</v>
      </c>
      <c r="E12" s="38">
        <f>SUM(E10:E11)</f>
        <v>40137.4825</v>
      </c>
      <c r="F12" s="38">
        <f>SUM(F10:F11)</f>
        <v>19237.335</v>
      </c>
      <c r="G12" s="38">
        <f>SUM(G10:G11)</f>
        <v>19237.34</v>
      </c>
      <c r="H12" s="71">
        <f>SUM(H10:H11)</f>
        <v>4137.48</v>
      </c>
      <c r="I12" s="73"/>
    </row>
    <row r="15" spans="1:3" ht="12.75">
      <c r="A15" t="s">
        <v>12</v>
      </c>
      <c r="C15" t="s">
        <v>13</v>
      </c>
    </row>
    <row r="17" ht="12.75">
      <c r="A17" t="s">
        <v>14</v>
      </c>
    </row>
  </sheetData>
  <mergeCells count="8">
    <mergeCell ref="A2:H2"/>
    <mergeCell ref="A3:H3"/>
    <mergeCell ref="A4:H4"/>
    <mergeCell ref="A6:A7"/>
    <mergeCell ref="B6:B7"/>
    <mergeCell ref="C6:C7"/>
    <mergeCell ref="D6:D7"/>
    <mergeCell ref="E6:H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1"/>
  </sheetPr>
  <dimension ref="A2:J17"/>
  <sheetViews>
    <sheetView workbookViewId="0" topLeftCell="A4">
      <selection activeCell="G15" sqref="G15"/>
    </sheetView>
  </sheetViews>
  <sheetFormatPr defaultColWidth="9.140625" defaultRowHeight="12.75"/>
  <cols>
    <col min="1" max="1" width="41.28125" style="0" customWidth="1"/>
  </cols>
  <sheetData>
    <row r="2" spans="1:8" ht="12.75">
      <c r="A2" s="168" t="s">
        <v>15</v>
      </c>
      <c r="B2" s="168"/>
      <c r="C2" s="168"/>
      <c r="D2" s="168"/>
      <c r="E2" s="168"/>
      <c r="F2" s="168"/>
      <c r="G2" s="168"/>
      <c r="H2" s="168"/>
    </row>
    <row r="3" spans="1:8" ht="12.75">
      <c r="A3" s="169" t="s">
        <v>110</v>
      </c>
      <c r="B3" s="168"/>
      <c r="C3" s="168"/>
      <c r="D3" s="168"/>
      <c r="E3" s="168"/>
      <c r="F3" s="168"/>
      <c r="G3" s="168"/>
      <c r="H3" s="168"/>
    </row>
    <row r="4" spans="1:8" ht="12.75">
      <c r="A4" s="168" t="s">
        <v>17</v>
      </c>
      <c r="B4" s="168"/>
      <c r="C4" s="168"/>
      <c r="D4" s="168"/>
      <c r="E4" s="168"/>
      <c r="F4" s="168"/>
      <c r="G4" s="168"/>
      <c r="H4" s="168"/>
    </row>
    <row r="5" ht="13.5" thickBot="1"/>
    <row r="6" spans="1:8" ht="12.75">
      <c r="A6" s="177" t="s">
        <v>0</v>
      </c>
      <c r="B6" s="179" t="s">
        <v>1</v>
      </c>
      <c r="C6" s="179" t="s">
        <v>2</v>
      </c>
      <c r="D6" s="181" t="s">
        <v>3</v>
      </c>
      <c r="E6" s="179" t="s">
        <v>4</v>
      </c>
      <c r="F6" s="179"/>
      <c r="G6" s="179"/>
      <c r="H6" s="183"/>
    </row>
    <row r="7" spans="1:8" ht="13.5" thickBot="1">
      <c r="A7" s="178"/>
      <c r="B7" s="180"/>
      <c r="C7" s="180"/>
      <c r="D7" s="182"/>
      <c r="E7" s="43" t="s">
        <v>5</v>
      </c>
      <c r="F7" s="43" t="s">
        <v>6</v>
      </c>
      <c r="G7" s="43" t="s">
        <v>7</v>
      </c>
      <c r="H7" s="44" t="s">
        <v>8</v>
      </c>
    </row>
    <row r="8" spans="1:8" ht="12.75">
      <c r="A8" s="23" t="s">
        <v>137</v>
      </c>
      <c r="B8" s="24" t="s">
        <v>138</v>
      </c>
      <c r="C8" s="78" t="s">
        <v>140</v>
      </c>
      <c r="D8" s="24">
        <v>33865.3</v>
      </c>
      <c r="E8" s="24"/>
      <c r="F8" s="24">
        <f>D8/2</f>
        <v>16932.65</v>
      </c>
      <c r="G8" s="24">
        <v>16932.65</v>
      </c>
      <c r="H8" s="25"/>
    </row>
    <row r="9" spans="1:8" ht="13.5" thickBot="1">
      <c r="A9" s="26" t="s">
        <v>139</v>
      </c>
      <c r="B9" s="79" t="s">
        <v>63</v>
      </c>
      <c r="C9" s="27">
        <v>3</v>
      </c>
      <c r="D9" s="27">
        <v>12000</v>
      </c>
      <c r="E9" s="27"/>
      <c r="F9" s="27">
        <v>8000</v>
      </c>
      <c r="G9" s="27">
        <v>4000</v>
      </c>
      <c r="H9" s="28"/>
    </row>
    <row r="10" spans="1:8" s="17" customFormat="1" ht="14.25" thickBot="1">
      <c r="A10" s="36" t="s">
        <v>9</v>
      </c>
      <c r="B10" s="37"/>
      <c r="C10" s="37"/>
      <c r="D10" s="37">
        <f>SUM(D8:D9)</f>
        <v>45865.3</v>
      </c>
      <c r="E10" s="37"/>
      <c r="F10" s="37">
        <f>SUM(F8:F9)</f>
        <v>24932.65</v>
      </c>
      <c r="G10" s="37">
        <f>SUM(G8:G9)</f>
        <v>20932.65</v>
      </c>
      <c r="H10" s="39"/>
    </row>
    <row r="11" spans="1:8" s="17" customFormat="1" ht="14.25" thickBot="1">
      <c r="A11" s="80" t="s">
        <v>11</v>
      </c>
      <c r="B11" s="80"/>
      <c r="C11" s="80"/>
      <c r="D11" s="80">
        <v>11466.32</v>
      </c>
      <c r="E11" s="80">
        <f>D11/4</f>
        <v>2866.58</v>
      </c>
      <c r="F11" s="80">
        <v>2866.58</v>
      </c>
      <c r="G11" s="80">
        <v>2856.58</v>
      </c>
      <c r="H11" s="80">
        <v>2856.58</v>
      </c>
    </row>
    <row r="12" spans="1:10" s="17" customFormat="1" ht="14.25" thickBot="1">
      <c r="A12" s="36" t="s">
        <v>10</v>
      </c>
      <c r="B12" s="37"/>
      <c r="C12" s="37"/>
      <c r="D12" s="37">
        <f>SUM(D10:D11)</f>
        <v>57331.62</v>
      </c>
      <c r="E12" s="37">
        <f>SUM(E10:E11)</f>
        <v>2866.58</v>
      </c>
      <c r="F12" s="37">
        <f>SUM(F10:F11)</f>
        <v>27799.230000000003</v>
      </c>
      <c r="G12" s="37">
        <f>SUM(G10:G11)</f>
        <v>23789.230000000003</v>
      </c>
      <c r="H12" s="39">
        <f>SUM(H10:H11)</f>
        <v>2856.58</v>
      </c>
      <c r="J12" s="77"/>
    </row>
    <row r="15" spans="1:3" ht="12.75">
      <c r="A15" t="s">
        <v>12</v>
      </c>
      <c r="C15" t="s">
        <v>13</v>
      </c>
    </row>
    <row r="17" ht="12.75">
      <c r="A17" s="66" t="s">
        <v>111</v>
      </c>
    </row>
  </sheetData>
  <mergeCells count="8">
    <mergeCell ref="A2:H2"/>
    <mergeCell ref="A3:H3"/>
    <mergeCell ref="A4:H4"/>
    <mergeCell ref="A6:A7"/>
    <mergeCell ref="B6:B7"/>
    <mergeCell ref="C6:C7"/>
    <mergeCell ref="D6:D7"/>
    <mergeCell ref="E6:H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5"/>
  </sheetPr>
  <dimension ref="A1:K140"/>
  <sheetViews>
    <sheetView tabSelected="1" workbookViewId="0" topLeftCell="A41">
      <selection activeCell="F143" sqref="F143"/>
    </sheetView>
  </sheetViews>
  <sheetFormatPr defaultColWidth="9.140625" defaultRowHeight="12.75"/>
  <cols>
    <col min="1" max="1" width="5.7109375" style="0" customWidth="1"/>
    <col min="2" max="2" width="21.140625" style="17" customWidth="1"/>
    <col min="3" max="3" width="35.421875" style="82" customWidth="1"/>
    <col min="4" max="4" width="6.8515625" style="0" customWidth="1"/>
    <col min="5" max="5" width="7.140625" style="0" customWidth="1"/>
    <col min="6" max="6" width="12.28125" style="0" customWidth="1"/>
    <col min="7" max="7" width="10.57421875" style="0" customWidth="1"/>
    <col min="8" max="8" width="10.7109375" style="0" customWidth="1"/>
    <col min="9" max="9" width="10.57421875" style="0" customWidth="1"/>
    <col min="10" max="10" width="10.8515625" style="0" customWidth="1"/>
    <col min="11" max="11" width="10.57421875" style="0" bestFit="1" customWidth="1"/>
  </cols>
  <sheetData>
    <row r="1" spans="2:10" s="82" customFormat="1" ht="13.5">
      <c r="B1" s="97"/>
      <c r="H1" s="186" t="s">
        <v>130</v>
      </c>
      <c r="I1" s="187"/>
      <c r="J1" s="187"/>
    </row>
    <row r="2" spans="1:10" s="82" customFormat="1" ht="12.75">
      <c r="A2" s="83"/>
      <c r="B2" s="140" t="s">
        <v>127</v>
      </c>
      <c r="C2" s="141"/>
      <c r="H2" s="187" t="s">
        <v>131</v>
      </c>
      <c r="I2" s="187"/>
      <c r="J2" s="187"/>
    </row>
    <row r="3" spans="2:10" s="82" customFormat="1" ht="12.75">
      <c r="B3" s="141" t="s">
        <v>128</v>
      </c>
      <c r="C3" s="141"/>
      <c r="H3" s="187" t="s">
        <v>132</v>
      </c>
      <c r="I3" s="187"/>
      <c r="J3" s="187"/>
    </row>
    <row r="4" spans="2:10" s="82" customFormat="1" ht="12.75">
      <c r="B4" s="141" t="s">
        <v>129</v>
      </c>
      <c r="C4" s="141"/>
      <c r="H4" s="187" t="s">
        <v>133</v>
      </c>
      <c r="I4" s="187"/>
      <c r="J4" s="187"/>
    </row>
    <row r="5" spans="2:3" s="82" customFormat="1" ht="12.75">
      <c r="B5" s="141"/>
      <c r="C5" s="141"/>
    </row>
    <row r="6" spans="1:10" s="82" customFormat="1" ht="13.5">
      <c r="A6" s="188" t="s">
        <v>134</v>
      </c>
      <c r="B6" s="188"/>
      <c r="C6" s="188"/>
      <c r="D6" s="188"/>
      <c r="E6" s="188"/>
      <c r="F6" s="188"/>
      <c r="G6" s="188"/>
      <c r="H6" s="188"/>
      <c r="I6" s="188"/>
      <c r="J6" s="188"/>
    </row>
    <row r="7" spans="1:10" s="82" customFormat="1" ht="13.5">
      <c r="A7" s="188" t="s">
        <v>135</v>
      </c>
      <c r="B7" s="188"/>
      <c r="C7" s="188"/>
      <c r="D7" s="188"/>
      <c r="E7" s="188"/>
      <c r="F7" s="188"/>
      <c r="G7" s="188"/>
      <c r="H7" s="188"/>
      <c r="I7" s="188"/>
      <c r="J7" s="188"/>
    </row>
    <row r="8" s="82" customFormat="1" ht="14.25" thickBot="1">
      <c r="B8" s="97"/>
    </row>
    <row r="9" spans="1:10" s="82" customFormat="1" ht="13.5" thickBot="1">
      <c r="A9" s="189" t="s">
        <v>28</v>
      </c>
      <c r="B9" s="191" t="s">
        <v>115</v>
      </c>
      <c r="C9" s="157" t="s">
        <v>0</v>
      </c>
      <c r="D9" s="159" t="s">
        <v>1</v>
      </c>
      <c r="E9" s="157" t="s">
        <v>2</v>
      </c>
      <c r="F9" s="194" t="s">
        <v>3</v>
      </c>
      <c r="G9" s="162" t="s">
        <v>4</v>
      </c>
      <c r="H9" s="163"/>
      <c r="I9" s="163"/>
      <c r="J9" s="164"/>
    </row>
    <row r="10" spans="1:10" s="82" customFormat="1" ht="13.5" thickBot="1">
      <c r="A10" s="193"/>
      <c r="B10" s="161"/>
      <c r="C10" s="158"/>
      <c r="D10" s="160"/>
      <c r="E10" s="158"/>
      <c r="F10" s="195"/>
      <c r="G10" s="84" t="s">
        <v>5</v>
      </c>
      <c r="H10" s="84" t="s">
        <v>6</v>
      </c>
      <c r="I10" s="84" t="s">
        <v>7</v>
      </c>
      <c r="J10" s="84" t="s">
        <v>8</v>
      </c>
    </row>
    <row r="11" spans="1:10" s="82" customFormat="1" ht="12.75">
      <c r="A11" s="189">
        <v>1</v>
      </c>
      <c r="B11" s="191" t="s">
        <v>47</v>
      </c>
      <c r="C11" s="85" t="s">
        <v>60</v>
      </c>
      <c r="D11" s="86" t="s">
        <v>61</v>
      </c>
      <c r="E11" s="86">
        <v>300</v>
      </c>
      <c r="F11" s="86">
        <f>E11*320</f>
        <v>96000</v>
      </c>
      <c r="G11" s="86"/>
      <c r="H11" s="86">
        <f>F11/2</f>
        <v>48000</v>
      </c>
      <c r="I11" s="86">
        <v>48000</v>
      </c>
      <c r="J11" s="60"/>
    </row>
    <row r="12" spans="1:10" s="82" customFormat="1" ht="12.75">
      <c r="A12" s="190"/>
      <c r="B12" s="192"/>
      <c r="C12" s="87" t="s">
        <v>62</v>
      </c>
      <c r="D12" s="88" t="s">
        <v>63</v>
      </c>
      <c r="E12" s="88">
        <v>3</v>
      </c>
      <c r="F12" s="88">
        <f>3*8000</f>
        <v>24000</v>
      </c>
      <c r="G12" s="88"/>
      <c r="H12" s="88"/>
      <c r="I12" s="88">
        <v>24000</v>
      </c>
      <c r="J12" s="61"/>
    </row>
    <row r="13" spans="1:10" s="82" customFormat="1" ht="12.75">
      <c r="A13" s="190"/>
      <c r="B13" s="192"/>
      <c r="C13" s="87" t="s">
        <v>64</v>
      </c>
      <c r="D13" s="88"/>
      <c r="E13" s="88"/>
      <c r="F13" s="88"/>
      <c r="G13" s="88"/>
      <c r="H13" s="88"/>
      <c r="I13" s="88"/>
      <c r="J13" s="61"/>
    </row>
    <row r="14" spans="1:10" s="82" customFormat="1" ht="12.75">
      <c r="A14" s="190"/>
      <c r="B14" s="192"/>
      <c r="C14" s="87" t="s">
        <v>65</v>
      </c>
      <c r="D14" s="88" t="s">
        <v>63</v>
      </c>
      <c r="E14" s="88">
        <v>70</v>
      </c>
      <c r="F14" s="88">
        <f>E14*700</f>
        <v>49000</v>
      </c>
      <c r="G14" s="88"/>
      <c r="H14" s="88">
        <f>F14</f>
        <v>49000</v>
      </c>
      <c r="I14" s="88"/>
      <c r="J14" s="61"/>
    </row>
    <row r="15" spans="1:10" s="82" customFormat="1" ht="12.75">
      <c r="A15" s="190"/>
      <c r="B15" s="192"/>
      <c r="C15" s="87" t="s">
        <v>66</v>
      </c>
      <c r="D15" s="88" t="s">
        <v>63</v>
      </c>
      <c r="E15" s="88">
        <v>40</v>
      </c>
      <c r="F15" s="88">
        <f>E15*700</f>
        <v>28000</v>
      </c>
      <c r="G15" s="88"/>
      <c r="H15" s="88"/>
      <c r="I15" s="88">
        <v>28000</v>
      </c>
      <c r="J15" s="61"/>
    </row>
    <row r="16" spans="1:10" s="82" customFormat="1" ht="12.75">
      <c r="A16" s="190"/>
      <c r="B16" s="192"/>
      <c r="C16" s="87" t="s">
        <v>67</v>
      </c>
      <c r="D16" s="88" t="s">
        <v>63</v>
      </c>
      <c r="E16" s="88">
        <v>40</v>
      </c>
      <c r="F16" s="88">
        <f>E16*700</f>
        <v>28000</v>
      </c>
      <c r="G16" s="88"/>
      <c r="H16" s="88"/>
      <c r="I16" s="88">
        <v>28000</v>
      </c>
      <c r="J16" s="61"/>
    </row>
    <row r="17" spans="1:10" s="82" customFormat="1" ht="12.75">
      <c r="A17" s="190"/>
      <c r="B17" s="192"/>
      <c r="C17" s="89" t="s">
        <v>68</v>
      </c>
      <c r="D17" s="88" t="s">
        <v>63</v>
      </c>
      <c r="E17" s="88">
        <v>4</v>
      </c>
      <c r="F17" s="88">
        <f>E17*107000+8237.68</f>
        <v>436237.68</v>
      </c>
      <c r="G17" s="88">
        <v>436237.68</v>
      </c>
      <c r="H17" s="88"/>
      <c r="I17" s="88"/>
      <c r="J17" s="61"/>
    </row>
    <row r="18" spans="1:10" s="82" customFormat="1" ht="12.75">
      <c r="A18" s="190"/>
      <c r="B18" s="192"/>
      <c r="C18" s="87" t="s">
        <v>69</v>
      </c>
      <c r="D18" s="88" t="s">
        <v>63</v>
      </c>
      <c r="E18" s="88">
        <v>11</v>
      </c>
      <c r="F18" s="88">
        <v>242000</v>
      </c>
      <c r="G18" s="88"/>
      <c r="H18" s="88">
        <f>F18/2</f>
        <v>121000</v>
      </c>
      <c r="I18" s="88">
        <v>121000</v>
      </c>
      <c r="J18" s="61"/>
    </row>
    <row r="19" spans="1:10" s="82" customFormat="1" ht="12.75">
      <c r="A19" s="190"/>
      <c r="B19" s="192"/>
      <c r="C19" s="89" t="s">
        <v>76</v>
      </c>
      <c r="D19" s="88" t="s">
        <v>61</v>
      </c>
      <c r="E19" s="88">
        <v>90</v>
      </c>
      <c r="F19" s="88">
        <f>E19*300</f>
        <v>27000</v>
      </c>
      <c r="G19" s="88">
        <v>27000</v>
      </c>
      <c r="H19" s="88"/>
      <c r="I19" s="88"/>
      <c r="J19" s="61"/>
    </row>
    <row r="20" spans="1:10" s="82" customFormat="1" ht="12.75">
      <c r="A20" s="190"/>
      <c r="B20" s="192"/>
      <c r="C20" s="90" t="s">
        <v>71</v>
      </c>
      <c r="D20" s="88" t="s">
        <v>61</v>
      </c>
      <c r="E20" s="88">
        <v>60</v>
      </c>
      <c r="F20" s="88">
        <f>E20*700</f>
        <v>42000</v>
      </c>
      <c r="G20" s="88"/>
      <c r="H20" s="88"/>
      <c r="I20" s="88"/>
      <c r="J20" s="61">
        <v>42000</v>
      </c>
    </row>
    <row r="21" spans="1:10" s="82" customFormat="1" ht="13.5" thickBot="1">
      <c r="A21" s="190"/>
      <c r="B21" s="192"/>
      <c r="C21" s="91" t="s">
        <v>70</v>
      </c>
      <c r="D21" s="92" t="s">
        <v>63</v>
      </c>
      <c r="E21" s="92">
        <v>45</v>
      </c>
      <c r="F21" s="92">
        <f>337902.74-42000</f>
        <v>295902.74</v>
      </c>
      <c r="G21" s="92"/>
      <c r="H21" s="92"/>
      <c r="I21" s="92"/>
      <c r="J21" s="63">
        <v>295902.74</v>
      </c>
    </row>
    <row r="22" spans="1:10" s="82" customFormat="1" ht="14.25" thickBot="1">
      <c r="A22" s="190"/>
      <c r="B22" s="192"/>
      <c r="C22" s="93" t="s">
        <v>9</v>
      </c>
      <c r="D22" s="94"/>
      <c r="E22" s="94"/>
      <c r="F22" s="95">
        <f>SUM(F11:F21)</f>
        <v>1268140.42</v>
      </c>
      <c r="G22" s="94">
        <f>SUM(G11:G21)</f>
        <v>463237.68</v>
      </c>
      <c r="H22" s="94">
        <f>SUM(H11:H21)</f>
        <v>218000</v>
      </c>
      <c r="I22" s="94">
        <f>SUM(I11:I21)</f>
        <v>249000</v>
      </c>
      <c r="J22" s="96">
        <f>SUM(J11:J21)</f>
        <v>337902.74</v>
      </c>
    </row>
    <row r="23" spans="1:10" s="97" customFormat="1" ht="14.25" thickBot="1">
      <c r="A23" s="190"/>
      <c r="B23" s="192"/>
      <c r="C23" s="93" t="s">
        <v>11</v>
      </c>
      <c r="D23" s="94" t="s">
        <v>59</v>
      </c>
      <c r="E23" s="94">
        <v>20</v>
      </c>
      <c r="F23" s="94">
        <v>317035.1</v>
      </c>
      <c r="G23" s="94">
        <f>F23/4</f>
        <v>79258.775</v>
      </c>
      <c r="H23" s="94">
        <v>79258.78</v>
      </c>
      <c r="I23" s="94">
        <v>79258.78</v>
      </c>
      <c r="J23" s="96">
        <v>79258.78</v>
      </c>
    </row>
    <row r="24" spans="1:10" s="82" customFormat="1" ht="14.25" thickBot="1">
      <c r="A24" s="193"/>
      <c r="B24" s="161"/>
      <c r="C24" s="98" t="s">
        <v>10</v>
      </c>
      <c r="D24" s="99"/>
      <c r="E24" s="99"/>
      <c r="F24" s="100">
        <f>F22+F23</f>
        <v>1585175.52</v>
      </c>
      <c r="G24" s="99">
        <f>SUM(G22:G23)</f>
        <v>542496.455</v>
      </c>
      <c r="H24" s="99">
        <f>SUM(H22:H23)</f>
        <v>297258.78</v>
      </c>
      <c r="I24" s="99">
        <f>SUM(I22:I23)</f>
        <v>328258.78</v>
      </c>
      <c r="J24" s="101">
        <f>SUM(J22:J23)</f>
        <v>417161.52</v>
      </c>
    </row>
    <row r="25" spans="1:10" s="82" customFormat="1" ht="12.75">
      <c r="A25" s="189">
        <v>2</v>
      </c>
      <c r="B25" s="191" t="s">
        <v>48</v>
      </c>
      <c r="C25" s="85" t="s">
        <v>60</v>
      </c>
      <c r="D25" s="86" t="s">
        <v>61</v>
      </c>
      <c r="E25" s="86">
        <v>300</v>
      </c>
      <c r="F25" s="86">
        <f>E25*290</f>
        <v>87000</v>
      </c>
      <c r="G25" s="86"/>
      <c r="H25" s="86"/>
      <c r="I25" s="88">
        <f>F25/2</f>
        <v>43500</v>
      </c>
      <c r="J25" s="60">
        <v>43500</v>
      </c>
    </row>
    <row r="26" spans="1:10" s="82" customFormat="1" ht="12.75">
      <c r="A26" s="190"/>
      <c r="B26" s="192"/>
      <c r="C26" s="89" t="s">
        <v>77</v>
      </c>
      <c r="D26" s="88"/>
      <c r="E26" s="88"/>
      <c r="F26" s="88"/>
      <c r="G26" s="88"/>
      <c r="H26" s="88"/>
      <c r="J26" s="61"/>
    </row>
    <row r="27" spans="1:10" s="82" customFormat="1" ht="12.75">
      <c r="A27" s="190"/>
      <c r="B27" s="192"/>
      <c r="C27" s="87" t="s">
        <v>73</v>
      </c>
      <c r="D27" s="88" t="s">
        <v>72</v>
      </c>
      <c r="E27" s="88">
        <v>30</v>
      </c>
      <c r="F27" s="88">
        <v>14200</v>
      </c>
      <c r="G27" s="88"/>
      <c r="H27" s="88">
        <v>14200</v>
      </c>
      <c r="I27" s="88"/>
      <c r="J27" s="61"/>
    </row>
    <row r="28" spans="1:10" s="82" customFormat="1" ht="12.75">
      <c r="A28" s="190"/>
      <c r="B28" s="192"/>
      <c r="C28" s="87" t="s">
        <v>74</v>
      </c>
      <c r="D28" s="88" t="s">
        <v>72</v>
      </c>
      <c r="E28" s="88">
        <v>300</v>
      </c>
      <c r="F28" s="88">
        <v>126060.4</v>
      </c>
      <c r="G28" s="88"/>
      <c r="H28" s="88"/>
      <c r="I28" s="88">
        <v>126060.4</v>
      </c>
      <c r="J28" s="61"/>
    </row>
    <row r="29" spans="1:10" s="82" customFormat="1" ht="12.75">
      <c r="A29" s="190"/>
      <c r="B29" s="192"/>
      <c r="C29" s="87" t="s">
        <v>71</v>
      </c>
      <c r="D29" s="88" t="s">
        <v>61</v>
      </c>
      <c r="E29" s="88">
        <v>16</v>
      </c>
      <c r="F29" s="88">
        <f>E29*650</f>
        <v>10400</v>
      </c>
      <c r="G29" s="88"/>
      <c r="H29" s="88"/>
      <c r="I29" s="88"/>
      <c r="J29" s="61">
        <v>10400</v>
      </c>
    </row>
    <row r="30" spans="1:10" s="82" customFormat="1" ht="13.5" thickBot="1">
      <c r="A30" s="190"/>
      <c r="B30" s="192"/>
      <c r="C30" s="89" t="s">
        <v>75</v>
      </c>
      <c r="D30" s="88" t="s">
        <v>63</v>
      </c>
      <c r="E30" s="88">
        <v>140</v>
      </c>
      <c r="F30" s="88">
        <f>E30*750</f>
        <v>105000</v>
      </c>
      <c r="G30" s="88"/>
      <c r="H30" s="88">
        <v>105000</v>
      </c>
      <c r="I30" s="88"/>
      <c r="J30" s="61"/>
    </row>
    <row r="31" spans="1:10" s="82" customFormat="1" ht="14.25" thickBot="1">
      <c r="A31" s="190"/>
      <c r="B31" s="192"/>
      <c r="C31" s="93" t="s">
        <v>9</v>
      </c>
      <c r="D31" s="94"/>
      <c r="E31" s="94"/>
      <c r="F31" s="94">
        <f>SUM(F25:F30)</f>
        <v>342660.4</v>
      </c>
      <c r="G31" s="94"/>
      <c r="H31" s="94">
        <f>SUM(H25:H30)</f>
        <v>119200</v>
      </c>
      <c r="I31" s="94">
        <f>SUM(I25:I30)</f>
        <v>169560.4</v>
      </c>
      <c r="J31" s="96">
        <f>SUM(J25:J30)</f>
        <v>53900</v>
      </c>
    </row>
    <row r="32" spans="1:10" s="97" customFormat="1" ht="14.25" thickBot="1">
      <c r="A32" s="190"/>
      <c r="B32" s="192"/>
      <c r="C32" s="120" t="s">
        <v>11</v>
      </c>
      <c r="D32" s="81" t="s">
        <v>59</v>
      </c>
      <c r="E32" s="81">
        <v>20</v>
      </c>
      <c r="F32" s="81">
        <v>85665.1</v>
      </c>
      <c r="G32" s="81">
        <f>F32/4</f>
        <v>21416.275</v>
      </c>
      <c r="H32" s="81">
        <v>21416.28</v>
      </c>
      <c r="I32" s="81">
        <v>21416.28</v>
      </c>
      <c r="J32" s="121">
        <v>21416.28</v>
      </c>
    </row>
    <row r="33" spans="1:10" s="82" customFormat="1" ht="14.25" thickBot="1">
      <c r="A33" s="193"/>
      <c r="B33" s="161"/>
      <c r="C33" s="93" t="s">
        <v>10</v>
      </c>
      <c r="D33" s="94"/>
      <c r="E33" s="94"/>
      <c r="F33" s="94">
        <f>SUM(F31:F32)</f>
        <v>428325.5</v>
      </c>
      <c r="G33" s="94">
        <f>SUM(G31:G32)</f>
        <v>21416.275</v>
      </c>
      <c r="H33" s="94">
        <f>SUM(H31:H32)</f>
        <v>140616.28</v>
      </c>
      <c r="I33" s="94">
        <f>SUM(I31:I32)</f>
        <v>190976.68</v>
      </c>
      <c r="J33" s="96">
        <f>SUM(J31:J32)</f>
        <v>75316.28</v>
      </c>
    </row>
    <row r="34" spans="1:10" s="82" customFormat="1" ht="25.5">
      <c r="A34" s="189">
        <v>3</v>
      </c>
      <c r="B34" s="191" t="s">
        <v>39</v>
      </c>
      <c r="C34" s="155" t="s">
        <v>78</v>
      </c>
      <c r="D34" s="86"/>
      <c r="E34" s="86"/>
      <c r="F34" s="86"/>
      <c r="G34" s="86"/>
      <c r="H34" s="86"/>
      <c r="I34" s="86"/>
      <c r="J34" s="60"/>
    </row>
    <row r="35" spans="1:10" s="82" customFormat="1" ht="12.75">
      <c r="A35" s="190"/>
      <c r="B35" s="192"/>
      <c r="C35" s="87" t="s">
        <v>65</v>
      </c>
      <c r="D35" s="88" t="s">
        <v>63</v>
      </c>
      <c r="E35" s="88">
        <v>37</v>
      </c>
      <c r="F35" s="88">
        <v>28000</v>
      </c>
      <c r="G35" s="88"/>
      <c r="H35" s="88">
        <v>28000</v>
      </c>
      <c r="I35" s="88"/>
      <c r="J35" s="61"/>
    </row>
    <row r="36" spans="1:10" s="82" customFormat="1" ht="12.75">
      <c r="A36" s="190"/>
      <c r="B36" s="192"/>
      <c r="C36" s="87" t="s">
        <v>66</v>
      </c>
      <c r="D36" s="88" t="s">
        <v>63</v>
      </c>
      <c r="E36" s="88">
        <v>8</v>
      </c>
      <c r="F36" s="88">
        <v>6800</v>
      </c>
      <c r="G36" s="88"/>
      <c r="H36" s="88"/>
      <c r="I36" s="88">
        <v>6800</v>
      </c>
      <c r="J36" s="61"/>
    </row>
    <row r="37" spans="1:10" s="82" customFormat="1" ht="12.75">
      <c r="A37" s="190"/>
      <c r="B37" s="192"/>
      <c r="C37" s="87" t="s">
        <v>67</v>
      </c>
      <c r="D37" s="88" t="s">
        <v>63</v>
      </c>
      <c r="E37" s="88">
        <v>13</v>
      </c>
      <c r="F37" s="88">
        <v>8000</v>
      </c>
      <c r="G37" s="88"/>
      <c r="H37" s="88">
        <v>8000</v>
      </c>
      <c r="I37" s="46"/>
      <c r="J37" s="61"/>
    </row>
    <row r="38" spans="1:10" s="82" customFormat="1" ht="25.5">
      <c r="A38" s="190"/>
      <c r="B38" s="192"/>
      <c r="C38" s="156" t="s">
        <v>83</v>
      </c>
      <c r="D38" s="88" t="s">
        <v>63</v>
      </c>
      <c r="E38" s="88">
        <v>25</v>
      </c>
      <c r="F38" s="88">
        <v>18085.11</v>
      </c>
      <c r="G38" s="88"/>
      <c r="H38" s="88"/>
      <c r="I38" s="88"/>
      <c r="J38" s="61">
        <v>18085.11</v>
      </c>
    </row>
    <row r="39" spans="1:10" s="82" customFormat="1" ht="12.75">
      <c r="A39" s="190"/>
      <c r="B39" s="192"/>
      <c r="C39" s="89" t="s">
        <v>71</v>
      </c>
      <c r="D39" s="88" t="s">
        <v>61</v>
      </c>
      <c r="E39" s="88">
        <v>10</v>
      </c>
      <c r="F39" s="88">
        <v>6200</v>
      </c>
      <c r="G39" s="46"/>
      <c r="H39" s="88"/>
      <c r="I39" s="88"/>
      <c r="J39" s="61">
        <v>6200</v>
      </c>
    </row>
    <row r="40" spans="1:10" s="82" customFormat="1" ht="12.75">
      <c r="A40" s="190"/>
      <c r="B40" s="192"/>
      <c r="C40" s="87" t="s">
        <v>79</v>
      </c>
      <c r="D40" s="88" t="s">
        <v>63</v>
      </c>
      <c r="E40" s="88">
        <v>1</v>
      </c>
      <c r="F40" s="88">
        <v>8500</v>
      </c>
      <c r="G40" s="61">
        <v>8500</v>
      </c>
      <c r="H40" s="88"/>
      <c r="I40" s="88"/>
      <c r="J40" s="62"/>
    </row>
    <row r="41" spans="1:10" s="82" customFormat="1" ht="12.75">
      <c r="A41" s="190"/>
      <c r="B41" s="192"/>
      <c r="C41" s="87" t="s">
        <v>93</v>
      </c>
      <c r="D41" s="88" t="s">
        <v>72</v>
      </c>
      <c r="E41" s="88">
        <v>30</v>
      </c>
      <c r="F41" s="88">
        <v>35828.37</v>
      </c>
      <c r="G41" s="103"/>
      <c r="H41" s="88">
        <v>20000</v>
      </c>
      <c r="I41" s="88">
        <v>15828.37</v>
      </c>
      <c r="J41" s="61"/>
    </row>
    <row r="42" spans="1:10" s="82" customFormat="1" ht="12.75">
      <c r="A42" s="190"/>
      <c r="B42" s="192"/>
      <c r="C42" s="87" t="s">
        <v>81</v>
      </c>
      <c r="D42" s="88" t="s">
        <v>72</v>
      </c>
      <c r="E42" s="88">
        <v>5</v>
      </c>
      <c r="F42" s="88">
        <f>E42*980</f>
        <v>4900</v>
      </c>
      <c r="G42" s="88"/>
      <c r="H42" s="88"/>
      <c r="I42" s="88"/>
      <c r="J42" s="61">
        <v>4900</v>
      </c>
    </row>
    <row r="43" spans="1:10" s="82" customFormat="1" ht="25.5">
      <c r="A43" s="190"/>
      <c r="B43" s="192"/>
      <c r="C43" s="142" t="s">
        <v>82</v>
      </c>
      <c r="D43" s="88" t="s">
        <v>72</v>
      </c>
      <c r="E43" s="88">
        <v>3.5</v>
      </c>
      <c r="F43" s="88">
        <v>3000</v>
      </c>
      <c r="G43" s="88"/>
      <c r="H43" s="88"/>
      <c r="I43" s="88"/>
      <c r="J43" s="61">
        <v>3000</v>
      </c>
    </row>
    <row r="44" spans="1:10" s="82" customFormat="1" ht="26.25" thickBot="1">
      <c r="A44" s="190"/>
      <c r="B44" s="192"/>
      <c r="C44" s="104" t="s">
        <v>80</v>
      </c>
      <c r="D44" s="92" t="s">
        <v>63</v>
      </c>
      <c r="E44" s="92">
        <v>10</v>
      </c>
      <c r="F44" s="92">
        <v>30000</v>
      </c>
      <c r="G44" s="92"/>
      <c r="H44" s="92"/>
      <c r="I44" s="92">
        <v>30000</v>
      </c>
      <c r="J44" s="63"/>
    </row>
    <row r="45" spans="1:10" s="97" customFormat="1" ht="14.25" thickBot="1">
      <c r="A45" s="190"/>
      <c r="B45" s="192"/>
      <c r="C45" s="93" t="s">
        <v>9</v>
      </c>
      <c r="D45" s="94"/>
      <c r="E45" s="94"/>
      <c r="F45" s="94">
        <f>SUM(F34:F44)</f>
        <v>149313.48</v>
      </c>
      <c r="G45" s="94">
        <f>SUM(G35:G44)</f>
        <v>8500</v>
      </c>
      <c r="H45" s="94">
        <f>SUM(H34:H44)</f>
        <v>56000</v>
      </c>
      <c r="I45" s="94">
        <f>SUM(I34:I44)</f>
        <v>52628.37</v>
      </c>
      <c r="J45" s="96">
        <f>SUM(J34:J44)</f>
        <v>32185.11</v>
      </c>
    </row>
    <row r="46" spans="1:10" s="97" customFormat="1" ht="14.25" thickBot="1">
      <c r="A46" s="190"/>
      <c r="B46" s="192"/>
      <c r="C46" s="98" t="s">
        <v>11</v>
      </c>
      <c r="D46" s="99"/>
      <c r="E46" s="99"/>
      <c r="F46" s="99">
        <v>37328.37</v>
      </c>
      <c r="G46" s="100">
        <f>F46/4</f>
        <v>9332.0925</v>
      </c>
      <c r="H46" s="100">
        <v>9332.09</v>
      </c>
      <c r="I46" s="100">
        <v>9332.09</v>
      </c>
      <c r="J46" s="139">
        <v>9332.09</v>
      </c>
    </row>
    <row r="47" spans="1:10" s="97" customFormat="1" ht="14.25" thickBot="1">
      <c r="A47" s="193"/>
      <c r="B47" s="161"/>
      <c r="C47" s="98" t="s">
        <v>10</v>
      </c>
      <c r="D47" s="99"/>
      <c r="E47" s="99"/>
      <c r="F47" s="99">
        <f>SUM(F45:F46)</f>
        <v>186641.85</v>
      </c>
      <c r="G47" s="100">
        <f>SUM(G45:G46)</f>
        <v>17832.0925</v>
      </c>
      <c r="H47" s="100">
        <f>SUM(H45:H46)</f>
        <v>65332.09</v>
      </c>
      <c r="I47" s="100">
        <f>SUM(I45:I46)</f>
        <v>61960.46000000001</v>
      </c>
      <c r="J47" s="139">
        <f>SUM(J45:J46)</f>
        <v>41517.2</v>
      </c>
    </row>
    <row r="48" spans="1:10" s="82" customFormat="1" ht="25.5">
      <c r="A48" s="189">
        <v>4</v>
      </c>
      <c r="B48" s="191" t="s">
        <v>40</v>
      </c>
      <c r="C48" s="155" t="s">
        <v>83</v>
      </c>
      <c r="D48" s="86" t="s">
        <v>63</v>
      </c>
      <c r="E48" s="86">
        <v>27</v>
      </c>
      <c r="F48" s="86">
        <f>E48*750</f>
        <v>20250</v>
      </c>
      <c r="G48" s="86"/>
      <c r="H48" s="86"/>
      <c r="I48" s="86">
        <v>20250</v>
      </c>
      <c r="J48" s="60"/>
    </row>
    <row r="49" spans="1:10" s="82" customFormat="1" ht="12.75">
      <c r="A49" s="190"/>
      <c r="B49" s="192"/>
      <c r="C49" s="108" t="s">
        <v>90</v>
      </c>
      <c r="D49" s="109" t="s">
        <v>72</v>
      </c>
      <c r="E49" s="109">
        <v>14</v>
      </c>
      <c r="F49" s="109">
        <v>17161.69</v>
      </c>
      <c r="G49" s="109"/>
      <c r="H49" s="109"/>
      <c r="I49" s="109"/>
      <c r="J49" s="110">
        <v>17161.69</v>
      </c>
    </row>
    <row r="50" spans="1:10" s="82" customFormat="1" ht="25.5">
      <c r="A50" s="190"/>
      <c r="B50" s="192"/>
      <c r="C50" s="142" t="s">
        <v>82</v>
      </c>
      <c r="D50" s="88" t="s">
        <v>72</v>
      </c>
      <c r="E50" s="88">
        <v>5</v>
      </c>
      <c r="F50" s="88">
        <v>2000</v>
      </c>
      <c r="G50" s="88"/>
      <c r="H50" s="88"/>
      <c r="I50" s="88"/>
      <c r="J50" s="61">
        <v>2000</v>
      </c>
    </row>
    <row r="51" spans="1:10" s="82" customFormat="1" ht="26.25" thickBot="1">
      <c r="A51" s="190"/>
      <c r="B51" s="192"/>
      <c r="C51" s="111" t="s">
        <v>84</v>
      </c>
      <c r="D51" s="112" t="s">
        <v>63</v>
      </c>
      <c r="E51" s="112">
        <v>1</v>
      </c>
      <c r="F51" s="112">
        <f>31235.05-2000</f>
        <v>29235.05</v>
      </c>
      <c r="G51" s="112"/>
      <c r="H51" s="112">
        <v>29235.05</v>
      </c>
      <c r="I51" s="112"/>
      <c r="J51" s="113"/>
    </row>
    <row r="52" spans="1:10" s="138" customFormat="1" ht="14.25" thickBot="1">
      <c r="A52" s="190"/>
      <c r="B52" s="192"/>
      <c r="C52" s="93" t="s">
        <v>9</v>
      </c>
      <c r="D52" s="94"/>
      <c r="E52" s="94"/>
      <c r="F52" s="94">
        <f>SUM(F48:F51)</f>
        <v>68646.74</v>
      </c>
      <c r="G52" s="94">
        <f>SUM(G48:G51)</f>
        <v>0</v>
      </c>
      <c r="H52" s="94">
        <f>SUM(H48:H51)</f>
        <v>29235.05</v>
      </c>
      <c r="I52" s="94">
        <f>SUM(I48:I51)</f>
        <v>20250</v>
      </c>
      <c r="J52" s="96">
        <f>SUM(J48:J51)</f>
        <v>19161.69</v>
      </c>
    </row>
    <row r="53" spans="1:10" s="97" customFormat="1" ht="14.25" thickBot="1">
      <c r="A53" s="190"/>
      <c r="B53" s="192"/>
      <c r="C53" s="120" t="s">
        <v>11</v>
      </c>
      <c r="D53" s="81"/>
      <c r="E53" s="77"/>
      <c r="F53" s="81">
        <v>17161.69</v>
      </c>
      <c r="G53" s="132">
        <f>F53/4</f>
        <v>4290.4225</v>
      </c>
      <c r="H53" s="132">
        <v>4290.42</v>
      </c>
      <c r="I53" s="132">
        <v>4290.42</v>
      </c>
      <c r="J53" s="133">
        <v>4290.42</v>
      </c>
    </row>
    <row r="54" spans="1:10" s="97" customFormat="1" ht="14.25" thickBot="1">
      <c r="A54" s="193"/>
      <c r="B54" s="161"/>
      <c r="C54" s="93" t="s">
        <v>10</v>
      </c>
      <c r="D54" s="94"/>
      <c r="E54" s="94"/>
      <c r="F54" s="94">
        <f>SUM(F52:F53)</f>
        <v>85808.43000000001</v>
      </c>
      <c r="G54" s="94">
        <f>SUM(G52:G53)</f>
        <v>4290.4225</v>
      </c>
      <c r="H54" s="94">
        <f>SUM(H52:H53)</f>
        <v>33525.47</v>
      </c>
      <c r="I54" s="94">
        <f>SUM(I52:I53)</f>
        <v>24540.42</v>
      </c>
      <c r="J54" s="96">
        <f>SUM(J52:J53)</f>
        <v>23452.11</v>
      </c>
    </row>
    <row r="55" spans="1:10" s="82" customFormat="1" ht="25.5">
      <c r="A55" s="189">
        <v>5</v>
      </c>
      <c r="B55" s="191" t="s">
        <v>41</v>
      </c>
      <c r="C55" s="143" t="s">
        <v>85</v>
      </c>
      <c r="D55" s="109" t="s">
        <v>61</v>
      </c>
      <c r="E55" s="109">
        <v>50</v>
      </c>
      <c r="F55" s="109">
        <v>32000</v>
      </c>
      <c r="G55" s="109">
        <v>32000</v>
      </c>
      <c r="H55" s="109"/>
      <c r="I55" s="109"/>
      <c r="J55" s="110"/>
    </row>
    <row r="56" spans="1:10" s="82" customFormat="1" ht="12.75">
      <c r="A56" s="190"/>
      <c r="B56" s="192"/>
      <c r="C56" s="87" t="s">
        <v>92</v>
      </c>
      <c r="D56" s="88" t="s">
        <v>72</v>
      </c>
      <c r="E56" s="88">
        <v>100</v>
      </c>
      <c r="F56" s="88">
        <f>52258.82-18000</f>
        <v>34258.82</v>
      </c>
      <c r="G56" s="88"/>
      <c r="H56" s="88">
        <v>52258.82</v>
      </c>
      <c r="I56" s="88"/>
      <c r="J56" s="61"/>
    </row>
    <row r="57" spans="1:10" s="82" customFormat="1" ht="12.75">
      <c r="A57" s="190"/>
      <c r="B57" s="192"/>
      <c r="C57" s="87" t="s">
        <v>93</v>
      </c>
      <c r="D57" s="88" t="s">
        <v>72</v>
      </c>
      <c r="E57" s="88">
        <v>15</v>
      </c>
      <c r="F57" s="88">
        <f>E57*1200</f>
        <v>18000</v>
      </c>
      <c r="G57" s="88"/>
      <c r="H57" s="88">
        <v>18000</v>
      </c>
      <c r="I57" s="88"/>
      <c r="J57" s="61"/>
    </row>
    <row r="58" spans="1:10" s="82" customFormat="1" ht="13.5" thickBot="1">
      <c r="A58" s="190"/>
      <c r="B58" s="192"/>
      <c r="C58" s="115" t="s">
        <v>91</v>
      </c>
      <c r="D58" s="92" t="s">
        <v>63</v>
      </c>
      <c r="E58" s="92">
        <v>27</v>
      </c>
      <c r="F58" s="92">
        <f>124776.5-0.03</f>
        <v>124776.47</v>
      </c>
      <c r="G58" s="92"/>
      <c r="H58" s="92"/>
      <c r="I58" s="92">
        <f>F58/2</f>
        <v>62388.235</v>
      </c>
      <c r="J58" s="63">
        <v>62388.24</v>
      </c>
    </row>
    <row r="59" spans="1:10" s="97" customFormat="1" ht="14.25" thickBot="1">
      <c r="A59" s="190"/>
      <c r="B59" s="192"/>
      <c r="C59" s="93" t="s">
        <v>9</v>
      </c>
      <c r="D59" s="94"/>
      <c r="E59" s="94"/>
      <c r="F59" s="94">
        <f>SUM(F55:F58)</f>
        <v>209035.29</v>
      </c>
      <c r="G59" s="94">
        <f>SUM(G55:G58)</f>
        <v>32000</v>
      </c>
      <c r="H59" s="94">
        <f>SUM(H55:H58)</f>
        <v>70258.82</v>
      </c>
      <c r="I59" s="94">
        <f>SUM(I55:I58)</f>
        <v>62388.235</v>
      </c>
      <c r="J59" s="96">
        <f>SUM(J55:J58)</f>
        <v>62388.24</v>
      </c>
    </row>
    <row r="60" spans="1:10" s="97" customFormat="1" ht="14.25" thickBot="1">
      <c r="A60" s="190"/>
      <c r="B60" s="192"/>
      <c r="C60" s="120" t="s">
        <v>11</v>
      </c>
      <c r="D60" s="81" t="s">
        <v>59</v>
      </c>
      <c r="E60" s="81">
        <v>20</v>
      </c>
      <c r="F60" s="81">
        <v>52258.82</v>
      </c>
      <c r="G60" s="81">
        <f>F60/4</f>
        <v>13064.705</v>
      </c>
      <c r="H60" s="81">
        <v>13064.71</v>
      </c>
      <c r="I60" s="81">
        <v>13064.71</v>
      </c>
      <c r="J60" s="121">
        <v>13064.71</v>
      </c>
    </row>
    <row r="61" spans="1:10" s="82" customFormat="1" ht="14.25" thickBot="1">
      <c r="A61" s="193"/>
      <c r="B61" s="161"/>
      <c r="C61" s="93" t="s">
        <v>10</v>
      </c>
      <c r="D61" s="94"/>
      <c r="E61" s="94"/>
      <c r="F61" s="94">
        <f>SUM(F59:F60)</f>
        <v>261294.11000000002</v>
      </c>
      <c r="G61" s="94">
        <f>SUM(G59:G60)</f>
        <v>45064.705</v>
      </c>
      <c r="H61" s="94">
        <f>SUM(H59:H60)</f>
        <v>83323.53</v>
      </c>
      <c r="I61" s="94">
        <f>SUM(I59:I60)</f>
        <v>75452.945</v>
      </c>
      <c r="J61" s="96">
        <f>SUM(J59:J60)</f>
        <v>75452.95</v>
      </c>
    </row>
    <row r="62" spans="1:10" s="82" customFormat="1" ht="12.75">
      <c r="A62" s="189">
        <v>6</v>
      </c>
      <c r="B62" s="191" t="s">
        <v>116</v>
      </c>
      <c r="C62" s="114" t="s">
        <v>60</v>
      </c>
      <c r="D62" s="109" t="s">
        <v>61</v>
      </c>
      <c r="E62" s="109">
        <v>200</v>
      </c>
      <c r="F62" s="109">
        <f>E62*290</f>
        <v>58000</v>
      </c>
      <c r="G62" s="109"/>
      <c r="H62" s="109"/>
      <c r="I62" s="109">
        <v>58000</v>
      </c>
      <c r="J62" s="110"/>
    </row>
    <row r="63" spans="1:10" s="82" customFormat="1" ht="12.75">
      <c r="A63" s="190"/>
      <c r="B63" s="192"/>
      <c r="C63" s="87" t="s">
        <v>93</v>
      </c>
      <c r="D63" s="88" t="s">
        <v>72</v>
      </c>
      <c r="E63" s="88">
        <v>12</v>
      </c>
      <c r="F63" s="88">
        <f>E63*1200</f>
        <v>14400</v>
      </c>
      <c r="G63" s="88"/>
      <c r="H63" s="88">
        <v>14400</v>
      </c>
      <c r="I63" s="88"/>
      <c r="J63" s="61"/>
    </row>
    <row r="64" spans="1:10" s="82" customFormat="1" ht="12.75">
      <c r="A64" s="190"/>
      <c r="B64" s="192"/>
      <c r="C64" s="87" t="s">
        <v>96</v>
      </c>
      <c r="D64" s="88" t="s">
        <v>61</v>
      </c>
      <c r="E64" s="88">
        <v>50</v>
      </c>
      <c r="F64" s="88">
        <v>17000</v>
      </c>
      <c r="G64" s="88">
        <v>17000</v>
      </c>
      <c r="H64" s="88"/>
      <c r="I64" s="88"/>
      <c r="J64" s="61"/>
    </row>
    <row r="65" spans="1:10" s="82" customFormat="1" ht="12.75">
      <c r="A65" s="190"/>
      <c r="B65" s="192"/>
      <c r="C65" s="87" t="s">
        <v>94</v>
      </c>
      <c r="D65" s="88" t="s">
        <v>61</v>
      </c>
      <c r="E65" s="88">
        <v>40</v>
      </c>
      <c r="F65" s="88">
        <f>E65*510</f>
        <v>20400</v>
      </c>
      <c r="G65" s="88">
        <v>20400</v>
      </c>
      <c r="H65" s="88"/>
      <c r="I65" s="88"/>
      <c r="J65" s="61"/>
    </row>
    <row r="66" spans="1:10" s="82" customFormat="1" ht="26.25" thickBot="1">
      <c r="A66" s="190"/>
      <c r="B66" s="192"/>
      <c r="C66" s="116" t="s">
        <v>86</v>
      </c>
      <c r="D66" s="112" t="s">
        <v>63</v>
      </c>
      <c r="E66" s="112">
        <f>5*9</f>
        <v>45</v>
      </c>
      <c r="F66" s="112">
        <f>151118.8+10172.54</f>
        <v>161291.34</v>
      </c>
      <c r="G66" s="112"/>
      <c r="H66" s="112">
        <f>F66/3</f>
        <v>53763.78</v>
      </c>
      <c r="I66" s="112">
        <v>53763.78</v>
      </c>
      <c r="J66" s="113">
        <v>53763.78</v>
      </c>
    </row>
    <row r="67" spans="1:10" s="82" customFormat="1" ht="14.25" thickBot="1">
      <c r="A67" s="190"/>
      <c r="B67" s="192"/>
      <c r="C67" s="93" t="s">
        <v>9</v>
      </c>
      <c r="D67" s="94"/>
      <c r="E67" s="94"/>
      <c r="F67" s="94">
        <f>SUM(F62:F66)</f>
        <v>271091.33999999997</v>
      </c>
      <c r="G67" s="94">
        <f>SUM(G62:G66)</f>
        <v>37400</v>
      </c>
      <c r="H67" s="94">
        <f>SUM(H62:H66)</f>
        <v>68163.78</v>
      </c>
      <c r="I67" s="94">
        <f>SUM(I62:I66)</f>
        <v>111763.78</v>
      </c>
      <c r="J67" s="96">
        <f>SUM(J62:J66)</f>
        <v>53763.78</v>
      </c>
    </row>
    <row r="68" spans="1:10" s="97" customFormat="1" ht="14.25" thickBot="1">
      <c r="A68" s="190"/>
      <c r="B68" s="192"/>
      <c r="C68" s="120" t="s">
        <v>11</v>
      </c>
      <c r="D68" s="81"/>
      <c r="E68" s="81"/>
      <c r="F68" s="81">
        <v>67772.83</v>
      </c>
      <c r="G68" s="81">
        <f>F68/4</f>
        <v>16943.2075</v>
      </c>
      <c r="H68" s="81">
        <v>16943.21</v>
      </c>
      <c r="I68" s="81">
        <v>16943.21</v>
      </c>
      <c r="J68" s="121">
        <v>16943.21</v>
      </c>
    </row>
    <row r="69" spans="1:10" s="82" customFormat="1" ht="14.25" thickBot="1">
      <c r="A69" s="193"/>
      <c r="B69" s="161"/>
      <c r="C69" s="93" t="s">
        <v>10</v>
      </c>
      <c r="D69" s="94"/>
      <c r="E69" s="94"/>
      <c r="F69" s="94">
        <f>SUM(F67:F68)</f>
        <v>338864.17</v>
      </c>
      <c r="G69" s="94">
        <f>SUM(G67:G68)</f>
        <v>54343.207500000004</v>
      </c>
      <c r="H69" s="94">
        <f>SUM(H67:H68)</f>
        <v>85106.98999999999</v>
      </c>
      <c r="I69" s="94">
        <f>SUM(I67:I68)</f>
        <v>128706.98999999999</v>
      </c>
      <c r="J69" s="96">
        <f>SUM(J67:J68)</f>
        <v>70706.98999999999</v>
      </c>
    </row>
    <row r="70" spans="1:10" s="82" customFormat="1" ht="12.75">
      <c r="A70" s="189">
        <v>7</v>
      </c>
      <c r="B70" s="191" t="s">
        <v>43</v>
      </c>
      <c r="C70" s="85" t="s">
        <v>60</v>
      </c>
      <c r="D70" s="86" t="s">
        <v>87</v>
      </c>
      <c r="E70" s="86">
        <v>400</v>
      </c>
      <c r="F70" s="86">
        <f>E70*290</f>
        <v>116000</v>
      </c>
      <c r="G70" s="86"/>
      <c r="H70" s="86">
        <v>58000</v>
      </c>
      <c r="I70" s="86">
        <v>58000</v>
      </c>
      <c r="J70" s="60"/>
    </row>
    <row r="71" spans="1:10" s="82" customFormat="1" ht="12.75">
      <c r="A71" s="190"/>
      <c r="B71" s="192"/>
      <c r="C71" s="87" t="s">
        <v>88</v>
      </c>
      <c r="D71" s="88" t="s">
        <v>63</v>
      </c>
      <c r="E71" s="88">
        <v>3</v>
      </c>
      <c r="F71" s="88">
        <f>E71*11000</f>
        <v>33000</v>
      </c>
      <c r="G71" s="88"/>
      <c r="H71" s="88"/>
      <c r="I71" s="88"/>
      <c r="J71" s="61">
        <v>33000</v>
      </c>
    </row>
    <row r="72" spans="1:10" s="82" customFormat="1" ht="12.75">
      <c r="A72" s="190"/>
      <c r="B72" s="192"/>
      <c r="C72" s="117" t="s">
        <v>97</v>
      </c>
      <c r="D72" s="112" t="s">
        <v>72</v>
      </c>
      <c r="E72" s="112">
        <v>18</v>
      </c>
      <c r="F72" s="112">
        <f>E72*850</f>
        <v>15300</v>
      </c>
      <c r="G72" s="112">
        <v>15300</v>
      </c>
      <c r="H72" s="112"/>
      <c r="I72" s="112"/>
      <c r="J72" s="113"/>
    </row>
    <row r="73" spans="1:10" s="82" customFormat="1" ht="12.75">
      <c r="A73" s="190"/>
      <c r="B73" s="192"/>
      <c r="C73" s="118" t="s">
        <v>113</v>
      </c>
      <c r="D73" s="112" t="s">
        <v>72</v>
      </c>
      <c r="E73" s="112">
        <v>80</v>
      </c>
      <c r="F73" s="112">
        <v>12000</v>
      </c>
      <c r="G73" s="112"/>
      <c r="H73" s="112"/>
      <c r="I73" s="112"/>
      <c r="J73" s="113">
        <v>12000</v>
      </c>
    </row>
    <row r="74" spans="1:10" s="82" customFormat="1" ht="12.75">
      <c r="A74" s="190"/>
      <c r="B74" s="192"/>
      <c r="C74" s="119" t="s">
        <v>98</v>
      </c>
      <c r="D74" s="112" t="s">
        <v>72</v>
      </c>
      <c r="E74" s="112">
        <v>100</v>
      </c>
      <c r="F74" s="112">
        <v>30587.23</v>
      </c>
      <c r="G74" s="112"/>
      <c r="H74" s="112"/>
      <c r="I74" s="112">
        <v>30587.23</v>
      </c>
      <c r="J74" s="113"/>
    </row>
    <row r="75" spans="1:10" s="82" customFormat="1" ht="13.5" thickBot="1">
      <c r="A75" s="190"/>
      <c r="B75" s="192"/>
      <c r="C75" s="91" t="s">
        <v>89</v>
      </c>
      <c r="D75" s="92" t="s">
        <v>72</v>
      </c>
      <c r="E75" s="92">
        <v>40</v>
      </c>
      <c r="F75" s="92">
        <f>E75*1200</f>
        <v>48000</v>
      </c>
      <c r="G75" s="92"/>
      <c r="H75" s="92">
        <f>F75/2</f>
        <v>24000</v>
      </c>
      <c r="I75" s="92">
        <v>24000</v>
      </c>
      <c r="J75" s="63"/>
    </row>
    <row r="76" spans="1:10" s="82" customFormat="1" ht="14.25" thickBot="1">
      <c r="A76" s="190"/>
      <c r="B76" s="192"/>
      <c r="C76" s="93" t="s">
        <v>9</v>
      </c>
      <c r="D76" s="94"/>
      <c r="E76" s="94"/>
      <c r="F76" s="94">
        <f>SUM(F70:F75)</f>
        <v>254887.23</v>
      </c>
      <c r="G76" s="94">
        <f>SUM(G70:G75)</f>
        <v>15300</v>
      </c>
      <c r="H76" s="94">
        <f>SUM(H70:H75)</f>
        <v>82000</v>
      </c>
      <c r="I76" s="94">
        <f>SUM(I70:I75)</f>
        <v>112587.23</v>
      </c>
      <c r="J76" s="96">
        <f>SUM(J70:J75)</f>
        <v>45000</v>
      </c>
    </row>
    <row r="77" spans="1:10" s="97" customFormat="1" ht="14.25" thickBot="1">
      <c r="A77" s="190"/>
      <c r="B77" s="192"/>
      <c r="C77" s="120" t="s">
        <v>11</v>
      </c>
      <c r="D77" s="81" t="s">
        <v>59</v>
      </c>
      <c r="E77" s="81">
        <v>20</v>
      </c>
      <c r="F77" s="81">
        <v>63721.81</v>
      </c>
      <c r="G77" s="81">
        <f>F77/4</f>
        <v>15930.4525</v>
      </c>
      <c r="H77" s="81">
        <v>15930.45</v>
      </c>
      <c r="I77" s="81">
        <v>15930.45</v>
      </c>
      <c r="J77" s="121">
        <v>15930.45</v>
      </c>
    </row>
    <row r="78" spans="1:10" s="82" customFormat="1" ht="14.25" thickBot="1">
      <c r="A78" s="193"/>
      <c r="B78" s="161"/>
      <c r="C78" s="93" t="s">
        <v>10</v>
      </c>
      <c r="D78" s="94"/>
      <c r="E78" s="94"/>
      <c r="F78" s="94">
        <f>SUM(F76:F77)</f>
        <v>318609.04000000004</v>
      </c>
      <c r="G78" s="94">
        <f>SUM(G76:G77)</f>
        <v>31230.4525</v>
      </c>
      <c r="H78" s="94">
        <f>SUM(H76:H77)</f>
        <v>97930.45</v>
      </c>
      <c r="I78" s="94">
        <f>SUM(I76:I77)</f>
        <v>128517.68</v>
      </c>
      <c r="J78" s="96">
        <f>SUM(J76:J77)</f>
        <v>60930.45</v>
      </c>
    </row>
    <row r="79" spans="1:10" s="82" customFormat="1" ht="12.75">
      <c r="A79" s="189">
        <v>8</v>
      </c>
      <c r="B79" s="191" t="s">
        <v>44</v>
      </c>
      <c r="C79" s="85" t="s">
        <v>71</v>
      </c>
      <c r="D79" s="86" t="s">
        <v>61</v>
      </c>
      <c r="E79" s="86">
        <v>40</v>
      </c>
      <c r="F79" s="86">
        <f>E79*650</f>
        <v>26000</v>
      </c>
      <c r="G79" s="86">
        <v>26000</v>
      </c>
      <c r="H79" s="86"/>
      <c r="I79" s="86"/>
      <c r="J79" s="60"/>
    </row>
    <row r="80" spans="1:10" s="82" customFormat="1" ht="12.75">
      <c r="A80" s="190"/>
      <c r="B80" s="192"/>
      <c r="C80" s="87" t="s">
        <v>64</v>
      </c>
      <c r="D80" s="88"/>
      <c r="E80" s="88"/>
      <c r="F80" s="88"/>
      <c r="G80" s="88"/>
      <c r="H80" s="88"/>
      <c r="I80" s="88"/>
      <c r="J80" s="61"/>
    </row>
    <row r="81" spans="1:10" s="82" customFormat="1" ht="12.75">
      <c r="A81" s="190"/>
      <c r="B81" s="192"/>
      <c r="C81" s="87" t="s">
        <v>95</v>
      </c>
      <c r="D81" s="88" t="s">
        <v>63</v>
      </c>
      <c r="E81" s="88">
        <v>60</v>
      </c>
      <c r="F81" s="88">
        <f>E81*750</f>
        <v>45000</v>
      </c>
      <c r="G81" s="88"/>
      <c r="H81" s="88">
        <f>45000/2</f>
        <v>22500</v>
      </c>
      <c r="I81" s="88">
        <v>22500</v>
      </c>
      <c r="J81" s="61"/>
    </row>
    <row r="82" spans="1:10" s="82" customFormat="1" ht="12.75">
      <c r="A82" s="190"/>
      <c r="B82" s="192"/>
      <c r="C82" s="87" t="s">
        <v>60</v>
      </c>
      <c r="D82" s="88" t="s">
        <v>61</v>
      </c>
      <c r="E82" s="88">
        <v>250</v>
      </c>
      <c r="F82" s="88">
        <f>E82*290</f>
        <v>72500</v>
      </c>
      <c r="G82" s="88"/>
      <c r="H82" s="88">
        <f>F82/2</f>
        <v>36250</v>
      </c>
      <c r="I82" s="88">
        <v>36250</v>
      </c>
      <c r="J82" s="61"/>
    </row>
    <row r="83" spans="1:10" s="82" customFormat="1" ht="13.5" thickBot="1">
      <c r="A83" s="190"/>
      <c r="B83" s="192"/>
      <c r="C83" s="91" t="s">
        <v>114</v>
      </c>
      <c r="D83" s="92" t="s">
        <v>72</v>
      </c>
      <c r="E83" s="92">
        <v>100</v>
      </c>
      <c r="F83" s="92">
        <v>30776.68</v>
      </c>
      <c r="G83" s="92"/>
      <c r="H83" s="92"/>
      <c r="I83" s="92">
        <v>30776.68</v>
      </c>
      <c r="J83" s="63"/>
    </row>
    <row r="84" spans="1:10" s="97" customFormat="1" ht="14.25" thickBot="1">
      <c r="A84" s="190"/>
      <c r="B84" s="192"/>
      <c r="C84" s="93" t="s">
        <v>9</v>
      </c>
      <c r="D84" s="94"/>
      <c r="E84" s="94"/>
      <c r="F84" s="94">
        <f>SUM(F79:F83)</f>
        <v>174276.68</v>
      </c>
      <c r="G84" s="94">
        <f>SUM(G79:G83)</f>
        <v>26000</v>
      </c>
      <c r="H84" s="94">
        <f>SUM(H79:H83)</f>
        <v>58750</v>
      </c>
      <c r="I84" s="94">
        <f>SUM(I79:I83)</f>
        <v>89526.68</v>
      </c>
      <c r="J84" s="96"/>
    </row>
    <row r="85" spans="1:10" s="97" customFormat="1" ht="14.25" thickBot="1">
      <c r="A85" s="190"/>
      <c r="B85" s="192"/>
      <c r="C85" s="120" t="s">
        <v>11</v>
      </c>
      <c r="D85" s="81" t="s">
        <v>59</v>
      </c>
      <c r="E85" s="81">
        <v>20</v>
      </c>
      <c r="F85" s="81">
        <v>43569.17</v>
      </c>
      <c r="G85" s="81">
        <f>F85/4</f>
        <v>10892.2925</v>
      </c>
      <c r="H85" s="81">
        <v>10892.29</v>
      </c>
      <c r="I85" s="81">
        <v>10892.29</v>
      </c>
      <c r="J85" s="121">
        <v>10892.29</v>
      </c>
    </row>
    <row r="86" spans="1:10" s="97" customFormat="1" ht="14.25" thickBot="1">
      <c r="A86" s="193"/>
      <c r="B86" s="161"/>
      <c r="C86" s="93" t="s">
        <v>10</v>
      </c>
      <c r="D86" s="94"/>
      <c r="E86" s="94"/>
      <c r="F86" s="94">
        <f>SUM(F84:F85)</f>
        <v>217845.84999999998</v>
      </c>
      <c r="G86" s="94">
        <f>SUM(G84:G85)</f>
        <v>36892.292499999996</v>
      </c>
      <c r="H86" s="94">
        <f>SUM(H84:H85)</f>
        <v>69642.29000000001</v>
      </c>
      <c r="I86" s="94">
        <f>SUM(I84:I85)</f>
        <v>100418.97</v>
      </c>
      <c r="J86" s="96">
        <f>SUM(J84:J85)</f>
        <v>10892.29</v>
      </c>
    </row>
    <row r="87" spans="1:10" s="82" customFormat="1" ht="12.75">
      <c r="A87" s="189">
        <v>9</v>
      </c>
      <c r="B87" s="191" t="s">
        <v>45</v>
      </c>
      <c r="C87" s="85" t="s">
        <v>98</v>
      </c>
      <c r="D87" s="86" t="s">
        <v>72</v>
      </c>
      <c r="E87" s="86">
        <v>150</v>
      </c>
      <c r="F87" s="86">
        <f>E87*320</f>
        <v>48000</v>
      </c>
      <c r="G87" s="86"/>
      <c r="H87" s="86">
        <v>48000</v>
      </c>
      <c r="I87" s="86"/>
      <c r="J87" s="60"/>
    </row>
    <row r="88" spans="1:10" s="82" customFormat="1" ht="12.75">
      <c r="A88" s="190"/>
      <c r="B88" s="192"/>
      <c r="C88" s="87" t="s">
        <v>70</v>
      </c>
      <c r="D88" s="88" t="s">
        <v>63</v>
      </c>
      <c r="E88" s="88">
        <v>27</v>
      </c>
      <c r="F88" s="88">
        <v>96000</v>
      </c>
      <c r="G88" s="88"/>
      <c r="H88" s="88"/>
      <c r="I88" s="88">
        <f>96000/3</f>
        <v>32000</v>
      </c>
      <c r="J88" s="61">
        <f>F88-32000</f>
        <v>64000</v>
      </c>
    </row>
    <row r="89" spans="1:10" s="82" customFormat="1" ht="13.5" thickBot="1">
      <c r="A89" s="190"/>
      <c r="B89" s="192"/>
      <c r="C89" s="117" t="s">
        <v>112</v>
      </c>
      <c r="D89" s="112" t="s">
        <v>72</v>
      </c>
      <c r="E89" s="112">
        <v>30</v>
      </c>
      <c r="F89" s="112">
        <v>14761.43</v>
      </c>
      <c r="G89" s="112">
        <v>14761.4</v>
      </c>
      <c r="H89" s="112"/>
      <c r="I89" s="112"/>
      <c r="J89" s="113"/>
    </row>
    <row r="90" spans="1:10" s="97" customFormat="1" ht="12" customHeight="1" thickBot="1">
      <c r="A90" s="190"/>
      <c r="B90" s="192"/>
      <c r="C90" s="93" t="s">
        <v>9</v>
      </c>
      <c r="D90" s="94"/>
      <c r="E90" s="94"/>
      <c r="F90" s="94">
        <f>SUM(F87:F89)</f>
        <v>158761.43</v>
      </c>
      <c r="G90" s="94">
        <f>SUM(G87:G89)</f>
        <v>14761.4</v>
      </c>
      <c r="H90" s="94">
        <f>SUM(H87:H89)</f>
        <v>48000</v>
      </c>
      <c r="I90" s="94">
        <f>SUM(I87:I89)</f>
        <v>32000</v>
      </c>
      <c r="J90" s="96">
        <f>SUM(J87:J89)</f>
        <v>64000</v>
      </c>
    </row>
    <row r="91" spans="1:10" s="97" customFormat="1" ht="14.25" thickBot="1">
      <c r="A91" s="190"/>
      <c r="B91" s="192"/>
      <c r="C91" s="120" t="s">
        <v>11</v>
      </c>
      <c r="D91" s="81"/>
      <c r="E91" s="81"/>
      <c r="F91" s="81">
        <v>39690.36</v>
      </c>
      <c r="G91" s="81">
        <f>F91/4</f>
        <v>9922.59</v>
      </c>
      <c r="H91" s="81">
        <v>9922.59</v>
      </c>
      <c r="I91" s="81">
        <v>9922.59</v>
      </c>
      <c r="J91" s="121">
        <v>9922.59</v>
      </c>
    </row>
    <row r="92" spans="1:10" s="97" customFormat="1" ht="14.25" thickBot="1">
      <c r="A92" s="193"/>
      <c r="B92" s="161"/>
      <c r="C92" s="93" t="s">
        <v>10</v>
      </c>
      <c r="D92" s="94"/>
      <c r="E92" s="94"/>
      <c r="F92" s="94">
        <f>SUM(F90:F91)</f>
        <v>198451.78999999998</v>
      </c>
      <c r="G92" s="94">
        <f>SUM(G90:G91)</f>
        <v>24683.989999999998</v>
      </c>
      <c r="H92" s="94">
        <f>SUM(H90:H91)</f>
        <v>57922.59</v>
      </c>
      <c r="I92" s="94">
        <f>SUM(I90:I91)</f>
        <v>41922.59</v>
      </c>
      <c r="J92" s="96">
        <f>SUM(J90:J91)</f>
        <v>73922.59</v>
      </c>
    </row>
    <row r="93" spans="1:10" s="82" customFormat="1" ht="12.75">
      <c r="A93" s="189">
        <v>10</v>
      </c>
      <c r="B93" s="191" t="s">
        <v>46</v>
      </c>
      <c r="C93" s="85" t="s">
        <v>99</v>
      </c>
      <c r="D93" s="86" t="s">
        <v>72</v>
      </c>
      <c r="E93" s="86">
        <v>150</v>
      </c>
      <c r="F93" s="86">
        <f>E93*320</f>
        <v>48000</v>
      </c>
      <c r="G93" s="86"/>
      <c r="H93" s="86">
        <v>48000</v>
      </c>
      <c r="I93" s="86"/>
      <c r="J93" s="60"/>
    </row>
    <row r="94" spans="1:10" s="82" customFormat="1" ht="12.75">
      <c r="A94" s="190"/>
      <c r="B94" s="192"/>
      <c r="C94" s="87" t="s">
        <v>100</v>
      </c>
      <c r="D94" s="88" t="s">
        <v>72</v>
      </c>
      <c r="E94" s="88">
        <v>9</v>
      </c>
      <c r="F94" s="88">
        <v>12000</v>
      </c>
      <c r="G94" s="88">
        <v>12000</v>
      </c>
      <c r="H94" s="88"/>
      <c r="I94" s="88"/>
      <c r="J94" s="61"/>
    </row>
    <row r="95" spans="1:10" s="82" customFormat="1" ht="13.5" thickBot="1">
      <c r="A95" s="190"/>
      <c r="B95" s="192"/>
      <c r="C95" s="91" t="s">
        <v>101</v>
      </c>
      <c r="D95" s="92" t="s">
        <v>63</v>
      </c>
      <c r="E95" s="92">
        <v>2</v>
      </c>
      <c r="F95" s="92">
        <v>89684.16</v>
      </c>
      <c r="G95" s="92"/>
      <c r="H95" s="92"/>
      <c r="I95" s="92">
        <f>F95/2</f>
        <v>44842.08</v>
      </c>
      <c r="J95" s="63">
        <v>44842.08</v>
      </c>
    </row>
    <row r="96" spans="1:10" s="82" customFormat="1" ht="14.25" thickBot="1">
      <c r="A96" s="190"/>
      <c r="B96" s="192"/>
      <c r="C96" s="93" t="s">
        <v>9</v>
      </c>
      <c r="D96" s="94"/>
      <c r="E96" s="94"/>
      <c r="F96" s="94">
        <f>SUM(F93:F95)</f>
        <v>149684.16</v>
      </c>
      <c r="G96" s="94">
        <f>SUM(G93:G95)</f>
        <v>12000</v>
      </c>
      <c r="H96" s="94">
        <f>SUM(H93:H95)</f>
        <v>48000</v>
      </c>
      <c r="I96" s="94">
        <f>SUM(I93:I95)</f>
        <v>44842.08</v>
      </c>
      <c r="J96" s="96">
        <f>SUM(J93:J95)</f>
        <v>44842.08</v>
      </c>
    </row>
    <row r="97" spans="1:10" s="82" customFormat="1" ht="13.5" thickBot="1">
      <c r="A97" s="190"/>
      <c r="B97" s="192"/>
      <c r="C97" s="102" t="s">
        <v>11</v>
      </c>
      <c r="D97" s="67"/>
      <c r="E97" s="67"/>
      <c r="F97" s="67">
        <v>37421.04</v>
      </c>
      <c r="G97" s="67">
        <f>F97/4</f>
        <v>9355.26</v>
      </c>
      <c r="H97" s="67">
        <v>9355.26</v>
      </c>
      <c r="I97" s="67">
        <v>9355.26</v>
      </c>
      <c r="J97" s="62">
        <v>9355.26</v>
      </c>
    </row>
    <row r="98" spans="1:10" s="82" customFormat="1" ht="14.25" thickBot="1">
      <c r="A98" s="193"/>
      <c r="B98" s="161"/>
      <c r="C98" s="93" t="s">
        <v>10</v>
      </c>
      <c r="D98" s="94"/>
      <c r="E98" s="94"/>
      <c r="F98" s="94">
        <f>SUM(F96:F97)</f>
        <v>187105.2</v>
      </c>
      <c r="G98" s="94">
        <f>SUM(G96:G97)</f>
        <v>21355.260000000002</v>
      </c>
      <c r="H98" s="94">
        <f>SUM(H96:H97)</f>
        <v>57355.26</v>
      </c>
      <c r="I98" s="94">
        <f>SUM(I96:I97)</f>
        <v>54197.340000000004</v>
      </c>
      <c r="J98" s="96">
        <f>SUM(J96:J97)</f>
        <v>54197.340000000004</v>
      </c>
    </row>
    <row r="99" spans="1:10" s="82" customFormat="1" ht="12.75">
      <c r="A99" s="189">
        <v>11</v>
      </c>
      <c r="B99" s="191" t="s">
        <v>117</v>
      </c>
      <c r="C99" s="85" t="s">
        <v>102</v>
      </c>
      <c r="D99" s="86" t="s">
        <v>63</v>
      </c>
      <c r="E99" s="86">
        <v>5</v>
      </c>
      <c r="F99" s="86">
        <v>110000</v>
      </c>
      <c r="G99" s="86"/>
      <c r="H99" s="86"/>
      <c r="I99" s="86">
        <v>110000</v>
      </c>
      <c r="J99" s="60"/>
    </row>
    <row r="100" spans="1:10" s="82" customFormat="1" ht="12.75">
      <c r="A100" s="190"/>
      <c r="B100" s="192"/>
      <c r="C100" s="87" t="s">
        <v>103</v>
      </c>
      <c r="D100" s="88" t="s">
        <v>63</v>
      </c>
      <c r="E100" s="88">
        <v>1</v>
      </c>
      <c r="F100" s="88">
        <v>107000</v>
      </c>
      <c r="G100" s="88">
        <v>107000</v>
      </c>
      <c r="H100" s="88"/>
      <c r="I100" s="88"/>
      <c r="J100" s="61"/>
    </row>
    <row r="101" spans="1:10" s="82" customFormat="1" ht="12.75">
      <c r="A101" s="190"/>
      <c r="B101" s="192"/>
      <c r="C101" s="89" t="s">
        <v>104</v>
      </c>
      <c r="D101" s="88" t="s">
        <v>72</v>
      </c>
      <c r="E101" s="88">
        <v>300</v>
      </c>
      <c r="F101" s="88">
        <f>E101*320</f>
        <v>96000</v>
      </c>
      <c r="G101" s="88"/>
      <c r="H101" s="88">
        <v>96000</v>
      </c>
      <c r="I101" s="88"/>
      <c r="J101" s="61"/>
    </row>
    <row r="102" spans="1:10" s="82" customFormat="1" ht="13.5" thickBot="1">
      <c r="A102" s="190"/>
      <c r="B102" s="192"/>
      <c r="C102" s="91" t="s">
        <v>60</v>
      </c>
      <c r="D102" s="92" t="s">
        <v>72</v>
      </c>
      <c r="E102" s="92">
        <v>200</v>
      </c>
      <c r="F102" s="92">
        <v>56809.33</v>
      </c>
      <c r="G102" s="92"/>
      <c r="H102" s="92"/>
      <c r="I102" s="92"/>
      <c r="J102" s="63">
        <v>56809.33</v>
      </c>
    </row>
    <row r="103" spans="1:10" s="82" customFormat="1" ht="14.25" hidden="1" thickBot="1">
      <c r="A103" s="190"/>
      <c r="B103" s="192"/>
      <c r="C103" s="93" t="s">
        <v>9</v>
      </c>
      <c r="D103" s="94"/>
      <c r="E103" s="94"/>
      <c r="F103" s="94">
        <f>SUM(F99:F102)</f>
        <v>369809.33</v>
      </c>
      <c r="G103" s="94">
        <f>SUM(G99:G102)</f>
        <v>107000</v>
      </c>
      <c r="H103" s="94">
        <f>SUM(H99:H102)</f>
        <v>96000</v>
      </c>
      <c r="I103" s="94">
        <f>SUM(I99:I102)</f>
        <v>110000</v>
      </c>
      <c r="J103" s="96">
        <f>SUM(J99:J102)</f>
        <v>56809.33</v>
      </c>
    </row>
    <row r="104" spans="1:10" s="82" customFormat="1" ht="13.5" thickBot="1">
      <c r="A104" s="190"/>
      <c r="B104" s="192"/>
      <c r="C104" s="105" t="s">
        <v>11</v>
      </c>
      <c r="D104" s="106"/>
      <c r="E104" s="106"/>
      <c r="F104" s="106">
        <v>92452.33</v>
      </c>
      <c r="G104" s="106">
        <f>F104/4</f>
        <v>23113.0825</v>
      </c>
      <c r="H104" s="106">
        <v>23113.08</v>
      </c>
      <c r="I104" s="106">
        <v>23113.08</v>
      </c>
      <c r="J104" s="107">
        <v>23113.08</v>
      </c>
    </row>
    <row r="105" spans="1:10" s="82" customFormat="1" ht="14.25" thickBot="1">
      <c r="A105" s="193"/>
      <c r="B105" s="161"/>
      <c r="C105" s="93" t="s">
        <v>10</v>
      </c>
      <c r="D105" s="94"/>
      <c r="E105" s="94"/>
      <c r="F105" s="94">
        <f>SUM(F103:F104)</f>
        <v>462261.66000000003</v>
      </c>
      <c r="G105" s="94">
        <f>SUM(G103:G104)</f>
        <v>130113.0825</v>
      </c>
      <c r="H105" s="94">
        <f>SUM(H103:H104)</f>
        <v>119113.08</v>
      </c>
      <c r="I105" s="94">
        <f>SUM(I103:I104)</f>
        <v>133113.08000000002</v>
      </c>
      <c r="J105" s="96">
        <f>SUM(J103:J104)</f>
        <v>79922.41</v>
      </c>
    </row>
    <row r="106" spans="1:10" s="82" customFormat="1" ht="12.75">
      <c r="A106" s="189">
        <v>12</v>
      </c>
      <c r="B106" s="191" t="s">
        <v>118</v>
      </c>
      <c r="C106" s="114" t="s">
        <v>105</v>
      </c>
      <c r="D106" s="109" t="s">
        <v>63</v>
      </c>
      <c r="E106" s="109">
        <v>20</v>
      </c>
      <c r="F106" s="109">
        <v>102000</v>
      </c>
      <c r="G106" s="109">
        <v>102000</v>
      </c>
      <c r="H106" s="109"/>
      <c r="I106" s="109"/>
      <c r="J106" s="110"/>
    </row>
    <row r="107" spans="1:10" s="82" customFormat="1" ht="12.75">
      <c r="A107" s="190"/>
      <c r="B107" s="192"/>
      <c r="C107" s="87" t="s">
        <v>96</v>
      </c>
      <c r="D107" s="88" t="s">
        <v>61</v>
      </c>
      <c r="E107" s="88">
        <v>120</v>
      </c>
      <c r="F107" s="88">
        <v>25000</v>
      </c>
      <c r="G107" s="88"/>
      <c r="H107" s="88">
        <v>25000</v>
      </c>
      <c r="I107" s="88"/>
      <c r="J107" s="61"/>
    </row>
    <row r="108" spans="1:10" s="82" customFormat="1" ht="12.75">
      <c r="A108" s="190"/>
      <c r="B108" s="192"/>
      <c r="C108" s="87" t="s">
        <v>106</v>
      </c>
      <c r="D108" s="88" t="s">
        <v>63</v>
      </c>
      <c r="E108" s="88">
        <v>1</v>
      </c>
      <c r="F108" s="88">
        <v>7500</v>
      </c>
      <c r="G108" s="88"/>
      <c r="H108" s="88"/>
      <c r="I108" s="88"/>
      <c r="J108" s="61">
        <v>7500</v>
      </c>
    </row>
    <row r="109" spans="1:10" s="82" customFormat="1" ht="12.75">
      <c r="A109" s="190"/>
      <c r="B109" s="192"/>
      <c r="C109" s="87" t="s">
        <v>71</v>
      </c>
      <c r="D109" s="88" t="s">
        <v>61</v>
      </c>
      <c r="E109" s="88">
        <v>30</v>
      </c>
      <c r="F109" s="88">
        <v>19000</v>
      </c>
      <c r="G109" s="88"/>
      <c r="H109" s="88"/>
      <c r="I109" s="88"/>
      <c r="J109" s="61">
        <v>19000</v>
      </c>
    </row>
    <row r="110" spans="1:10" s="82" customFormat="1" ht="12.75">
      <c r="A110" s="190"/>
      <c r="B110" s="192"/>
      <c r="C110" s="87" t="s">
        <v>60</v>
      </c>
      <c r="D110" s="88" t="s">
        <v>61</v>
      </c>
      <c r="E110" s="88">
        <v>500</v>
      </c>
      <c r="F110" s="88">
        <v>124108.8</v>
      </c>
      <c r="G110" s="88"/>
      <c r="H110" s="88"/>
      <c r="I110" s="88">
        <v>124108.8</v>
      </c>
      <c r="J110" s="61"/>
    </row>
    <row r="111" spans="1:10" s="82" customFormat="1" ht="13.5" thickBot="1">
      <c r="A111" s="190"/>
      <c r="B111" s="192"/>
      <c r="C111" s="87" t="s">
        <v>119</v>
      </c>
      <c r="D111" s="88" t="s">
        <v>63</v>
      </c>
      <c r="E111" s="88">
        <v>3</v>
      </c>
      <c r="F111" s="88">
        <v>33000</v>
      </c>
      <c r="G111" s="88"/>
      <c r="H111" s="88"/>
      <c r="I111" s="88"/>
      <c r="J111" s="61">
        <v>33000</v>
      </c>
    </row>
    <row r="112" spans="1:10" s="82" customFormat="1" ht="13.5">
      <c r="A112" s="190"/>
      <c r="B112" s="192"/>
      <c r="C112" s="122" t="s">
        <v>9</v>
      </c>
      <c r="D112" s="123"/>
      <c r="E112" s="123"/>
      <c r="F112" s="123">
        <f>SUM(F106:F111)</f>
        <v>310608.8</v>
      </c>
      <c r="G112" s="123">
        <f>SUM(G106:G111)</f>
        <v>102000</v>
      </c>
      <c r="H112" s="123">
        <f>SUM(H106:H111)</f>
        <v>25000</v>
      </c>
      <c r="I112" s="123">
        <f>SUM(I106:I111)</f>
        <v>124108.8</v>
      </c>
      <c r="J112" s="124">
        <f>SUM(J106:J111)</f>
        <v>59500</v>
      </c>
    </row>
    <row r="113" spans="1:10" s="82" customFormat="1" ht="13.5">
      <c r="A113" s="190"/>
      <c r="B113" s="192"/>
      <c r="C113" s="125" t="s">
        <v>11</v>
      </c>
      <c r="D113" s="126"/>
      <c r="E113" s="126"/>
      <c r="F113" s="126">
        <v>77652.2</v>
      </c>
      <c r="G113" s="126">
        <f>F113/4</f>
        <v>19413.05</v>
      </c>
      <c r="H113" s="126">
        <v>19413.05</v>
      </c>
      <c r="I113" s="126">
        <v>19413.05</v>
      </c>
      <c r="J113" s="127">
        <v>19413.05</v>
      </c>
    </row>
    <row r="114" spans="1:10" s="82" customFormat="1" ht="14.25" thickBot="1">
      <c r="A114" s="193"/>
      <c r="B114" s="161"/>
      <c r="C114" s="128" t="s">
        <v>10</v>
      </c>
      <c r="D114" s="129"/>
      <c r="E114" s="129"/>
      <c r="F114" s="129">
        <f>SUM(F112:F113)</f>
        <v>388261</v>
      </c>
      <c r="G114" s="129">
        <f>SUM(G112:G113)</f>
        <v>121413.05</v>
      </c>
      <c r="H114" s="129">
        <f>SUM(H112:H113)</f>
        <v>44413.05</v>
      </c>
      <c r="I114" s="129">
        <f>SUM(I112:I113)</f>
        <v>143521.85</v>
      </c>
      <c r="J114" s="130">
        <f>SUM(J112:J113)</f>
        <v>78913.05</v>
      </c>
    </row>
    <row r="115" spans="1:10" s="82" customFormat="1" ht="13.5" thickBot="1">
      <c r="A115" s="189">
        <v>13</v>
      </c>
      <c r="B115" s="191" t="s">
        <v>120</v>
      </c>
      <c r="C115" s="105" t="s">
        <v>105</v>
      </c>
      <c r="D115" s="106" t="s">
        <v>63</v>
      </c>
      <c r="E115" s="106">
        <v>8</v>
      </c>
      <c r="F115" s="106">
        <v>12258.21</v>
      </c>
      <c r="G115" s="106">
        <v>12258.21</v>
      </c>
      <c r="H115" s="106"/>
      <c r="I115" s="106"/>
      <c r="J115" s="107"/>
    </row>
    <row r="116" spans="1:10" s="82" customFormat="1" ht="14.25" thickBot="1">
      <c r="A116" s="190"/>
      <c r="B116" s="192"/>
      <c r="C116" s="93" t="s">
        <v>9</v>
      </c>
      <c r="D116" s="94"/>
      <c r="E116" s="94"/>
      <c r="F116" s="94">
        <f>SUM(F115)</f>
        <v>12258.21</v>
      </c>
      <c r="G116" s="94">
        <f>SUM(G115)</f>
        <v>12258.21</v>
      </c>
      <c r="H116" s="94"/>
      <c r="I116" s="94"/>
      <c r="J116" s="96"/>
    </row>
    <row r="117" spans="1:10" s="82" customFormat="1" ht="14.25" thickBot="1">
      <c r="A117" s="190"/>
      <c r="B117" s="192"/>
      <c r="C117" s="93" t="s">
        <v>11</v>
      </c>
      <c r="D117" s="106"/>
      <c r="E117" s="106"/>
      <c r="F117" s="94">
        <v>3064.55</v>
      </c>
      <c r="G117" s="95">
        <f>F117/4</f>
        <v>766.1375</v>
      </c>
      <c r="H117" s="95">
        <v>766.14</v>
      </c>
      <c r="I117" s="95">
        <v>766.14</v>
      </c>
      <c r="J117" s="131">
        <v>766.14</v>
      </c>
    </row>
    <row r="118" spans="1:10" s="82" customFormat="1" ht="14.25" thickBot="1">
      <c r="A118" s="193"/>
      <c r="B118" s="161"/>
      <c r="C118" s="93" t="s">
        <v>10</v>
      </c>
      <c r="D118" s="94"/>
      <c r="E118" s="94"/>
      <c r="F118" s="94">
        <f>SUM(F116:F117)</f>
        <v>15322.759999999998</v>
      </c>
      <c r="G118" s="94">
        <f>SUM(G116:G117)</f>
        <v>13024.3475</v>
      </c>
      <c r="H118" s="94"/>
      <c r="I118" s="94"/>
      <c r="J118" s="96"/>
    </row>
    <row r="119" spans="1:10" s="82" customFormat="1" ht="13.5" thickBot="1">
      <c r="A119" s="189">
        <v>14</v>
      </c>
      <c r="B119" s="191" t="s">
        <v>121</v>
      </c>
      <c r="C119" s="91" t="s">
        <v>108</v>
      </c>
      <c r="D119" s="92" t="s">
        <v>63</v>
      </c>
      <c r="E119" s="92">
        <v>2</v>
      </c>
      <c r="F119" s="92">
        <v>40734.37</v>
      </c>
      <c r="G119" s="92"/>
      <c r="H119" s="92"/>
      <c r="I119" s="92"/>
      <c r="J119" s="63"/>
    </row>
    <row r="120" spans="1:10" s="97" customFormat="1" ht="14.25" thickBot="1">
      <c r="A120" s="190"/>
      <c r="B120" s="192"/>
      <c r="C120" s="93" t="s">
        <v>9</v>
      </c>
      <c r="D120" s="94"/>
      <c r="E120" s="94"/>
      <c r="F120" s="94">
        <f>SUM(F119:F119)</f>
        <v>40734.37</v>
      </c>
      <c r="G120" s="94">
        <f>SUM(G119:G119)</f>
        <v>0</v>
      </c>
      <c r="H120" s="94">
        <f>F120/2</f>
        <v>20367.185</v>
      </c>
      <c r="I120" s="94">
        <v>20367.19</v>
      </c>
      <c r="J120" s="96"/>
    </row>
    <row r="121" spans="1:10" s="97" customFormat="1" ht="14.25" thickBot="1">
      <c r="A121" s="190"/>
      <c r="B121" s="192"/>
      <c r="C121" s="120" t="s">
        <v>11</v>
      </c>
      <c r="D121" s="81"/>
      <c r="E121" s="81"/>
      <c r="F121" s="81">
        <f>10183.59</f>
        <v>10183.59</v>
      </c>
      <c r="G121" s="132">
        <f>F121/4</f>
        <v>2545.8975</v>
      </c>
      <c r="H121" s="132">
        <v>2545.9</v>
      </c>
      <c r="I121" s="132">
        <v>2545.9</v>
      </c>
      <c r="J121" s="133">
        <v>2545.9</v>
      </c>
    </row>
    <row r="122" spans="1:10" s="97" customFormat="1" ht="14.25" thickBot="1">
      <c r="A122" s="193"/>
      <c r="B122" s="161"/>
      <c r="C122" s="93" t="s">
        <v>10</v>
      </c>
      <c r="D122" s="94"/>
      <c r="E122" s="94"/>
      <c r="F122" s="94">
        <f>SUM(F120:F121)</f>
        <v>50917.96000000001</v>
      </c>
      <c r="G122" s="95">
        <f>SUM(G120:G121)</f>
        <v>2545.8975</v>
      </c>
      <c r="H122" s="95">
        <f>SUM(H120:H121)</f>
        <v>22913.085000000003</v>
      </c>
      <c r="I122" s="95">
        <f>SUM(I120:I121)</f>
        <v>22913.09</v>
      </c>
      <c r="J122" s="131">
        <f>SUM(J120:J121)</f>
        <v>2545.9</v>
      </c>
    </row>
    <row r="123" spans="1:10" s="82" customFormat="1" ht="12.75">
      <c r="A123" s="189">
        <v>15</v>
      </c>
      <c r="B123" s="191" t="s">
        <v>37</v>
      </c>
      <c r="C123" s="85" t="s">
        <v>105</v>
      </c>
      <c r="D123" s="86" t="s">
        <v>63</v>
      </c>
      <c r="E123" s="86">
        <v>8</v>
      </c>
      <c r="F123" s="86">
        <f>E123*4500</f>
        <v>36000</v>
      </c>
      <c r="G123" s="86">
        <v>36000</v>
      </c>
      <c r="H123" s="86"/>
      <c r="I123" s="86"/>
      <c r="J123" s="60"/>
    </row>
    <row r="124" spans="1:10" s="82" customFormat="1" ht="13.5" thickBot="1">
      <c r="A124" s="190"/>
      <c r="B124" s="192"/>
      <c r="C124" s="117" t="s">
        <v>108</v>
      </c>
      <c r="D124" s="112" t="s">
        <v>63</v>
      </c>
      <c r="E124" s="112">
        <v>2</v>
      </c>
      <c r="F124" s="112">
        <v>30199.71</v>
      </c>
      <c r="G124" s="112"/>
      <c r="H124" s="112">
        <f>F124/2</f>
        <v>15099.855</v>
      </c>
      <c r="I124" s="112">
        <v>15099.86</v>
      </c>
      <c r="J124" s="113"/>
    </row>
    <row r="125" spans="1:10" s="97" customFormat="1" ht="14.25" thickBot="1">
      <c r="A125" s="190"/>
      <c r="B125" s="192"/>
      <c r="C125" s="93" t="s">
        <v>9</v>
      </c>
      <c r="D125" s="94"/>
      <c r="E125" s="94"/>
      <c r="F125" s="94">
        <f>SUM(F123:F124)</f>
        <v>66199.70999999999</v>
      </c>
      <c r="G125" s="95">
        <f>SUM(G123:G124)</f>
        <v>36000</v>
      </c>
      <c r="H125" s="95">
        <f>SUM(H123:H124)</f>
        <v>15099.855</v>
      </c>
      <c r="I125" s="95">
        <f>SUM(I123:I124)</f>
        <v>15099.86</v>
      </c>
      <c r="J125" s="131"/>
    </row>
    <row r="126" spans="1:10" s="97" customFormat="1" ht="14.25" thickBot="1">
      <c r="A126" s="190"/>
      <c r="B126" s="192"/>
      <c r="C126" s="120" t="s">
        <v>11</v>
      </c>
      <c r="D126" s="81"/>
      <c r="E126" s="81"/>
      <c r="F126" s="81">
        <v>16549.93</v>
      </c>
      <c r="G126" s="132">
        <f>F126/4</f>
        <v>4137.4825</v>
      </c>
      <c r="H126" s="132">
        <v>4137.48</v>
      </c>
      <c r="I126" s="132">
        <v>4137.48</v>
      </c>
      <c r="J126" s="133">
        <v>4137.48</v>
      </c>
    </row>
    <row r="127" spans="1:10" s="97" customFormat="1" ht="14.25" thickBot="1">
      <c r="A127" s="193"/>
      <c r="B127" s="161"/>
      <c r="C127" s="93" t="s">
        <v>10</v>
      </c>
      <c r="D127" s="94"/>
      <c r="E127" s="94"/>
      <c r="F127" s="94">
        <f>SUM(F125:F126)</f>
        <v>82749.63999999998</v>
      </c>
      <c r="G127" s="95">
        <f>SUM(G125:G126)</f>
        <v>40137.4825</v>
      </c>
      <c r="H127" s="95">
        <f>SUM(H125:H126)</f>
        <v>19237.335</v>
      </c>
      <c r="I127" s="95">
        <f>SUM(I125:I126)</f>
        <v>19237.34</v>
      </c>
      <c r="J127" s="131">
        <f>SUM(J125:J126)</f>
        <v>4137.48</v>
      </c>
    </row>
    <row r="128" spans="1:10" s="82" customFormat="1" ht="12.75">
      <c r="A128" s="189">
        <v>16</v>
      </c>
      <c r="B128" s="191" t="s">
        <v>122</v>
      </c>
      <c r="C128" s="134" t="s">
        <v>137</v>
      </c>
      <c r="D128" s="88" t="s">
        <v>138</v>
      </c>
      <c r="E128" s="88" t="s">
        <v>142</v>
      </c>
      <c r="F128" s="88">
        <v>33865.3</v>
      </c>
      <c r="G128" s="88"/>
      <c r="H128" s="88">
        <v>16932.65</v>
      </c>
      <c r="I128" s="88">
        <v>16932.65</v>
      </c>
      <c r="J128" s="88"/>
    </row>
    <row r="129" spans="1:10" s="82" customFormat="1" ht="12.75">
      <c r="A129" s="190"/>
      <c r="B129" s="192"/>
      <c r="C129" s="134" t="s">
        <v>141</v>
      </c>
      <c r="D129" s="88" t="s">
        <v>63</v>
      </c>
      <c r="E129" s="88">
        <v>3</v>
      </c>
      <c r="F129" s="88">
        <v>12000</v>
      </c>
      <c r="G129" s="88"/>
      <c r="H129" s="88">
        <v>8000</v>
      </c>
      <c r="I129" s="88">
        <v>4000</v>
      </c>
      <c r="J129" s="88"/>
    </row>
    <row r="130" spans="1:10" s="97" customFormat="1" ht="13.5">
      <c r="A130" s="190"/>
      <c r="B130" s="192"/>
      <c r="C130" s="135" t="s">
        <v>9</v>
      </c>
      <c r="D130" s="126"/>
      <c r="E130" s="126"/>
      <c r="F130" s="126">
        <f>SUM(F128:F129)</f>
        <v>45865.3</v>
      </c>
      <c r="G130" s="126"/>
      <c r="H130" s="126">
        <f>SUM(H128:H129)</f>
        <v>24932.65</v>
      </c>
      <c r="I130" s="126">
        <f>SUM(I128:I129)</f>
        <v>20932.65</v>
      </c>
      <c r="J130" s="126"/>
    </row>
    <row r="131" spans="1:10" s="97" customFormat="1" ht="13.5">
      <c r="A131" s="190"/>
      <c r="B131" s="192"/>
      <c r="C131" s="135" t="s">
        <v>11</v>
      </c>
      <c r="D131" s="126"/>
      <c r="E131" s="126"/>
      <c r="F131" s="126">
        <v>11466.32</v>
      </c>
      <c r="G131" s="126">
        <f>F131/4</f>
        <v>2866.58</v>
      </c>
      <c r="H131" s="126">
        <v>2866.58</v>
      </c>
      <c r="I131" s="126">
        <v>2866.58</v>
      </c>
      <c r="J131" s="126">
        <v>2866.58</v>
      </c>
    </row>
    <row r="132" spans="1:11" s="97" customFormat="1" ht="12" customHeight="1" thickBot="1">
      <c r="A132" s="190"/>
      <c r="B132" s="192"/>
      <c r="C132" s="136" t="s">
        <v>10</v>
      </c>
      <c r="D132" s="137"/>
      <c r="E132" s="137"/>
      <c r="F132" s="137">
        <f>SUM(F130:F131)</f>
        <v>57331.62</v>
      </c>
      <c r="G132" s="137">
        <f>SUM(G130:G131)</f>
        <v>2866.58</v>
      </c>
      <c r="H132" s="137">
        <f>SUM(H130:H131)</f>
        <v>27799.230000000003</v>
      </c>
      <c r="I132" s="137">
        <f>SUM(I130:I131)</f>
        <v>23799.230000000003</v>
      </c>
      <c r="J132" s="137">
        <f>SUM(J130:J131)</f>
        <v>2866.58</v>
      </c>
      <c r="K132" s="97">
        <f>57331.62-F132</f>
        <v>0</v>
      </c>
    </row>
    <row r="133" spans="1:11" ht="14.25" thickBot="1">
      <c r="A133" s="184" t="s">
        <v>123</v>
      </c>
      <c r="B133" s="185"/>
      <c r="C133" s="185"/>
      <c r="D133" s="74"/>
      <c r="E133" s="74"/>
      <c r="F133" s="75">
        <f aca="true" t="shared" si="0" ref="F133:J134">F22+F31+F45+F52+F59+F67+F76+F84+F90+F96+F103+F112+F116+F120+F125+F130</f>
        <v>3891972.89</v>
      </c>
      <c r="G133" s="75">
        <f t="shared" si="0"/>
        <v>866457.2899999999</v>
      </c>
      <c r="H133" s="75">
        <f t="shared" si="0"/>
        <v>979007.3400000001</v>
      </c>
      <c r="I133" s="75">
        <f t="shared" si="0"/>
        <v>1235055.275</v>
      </c>
      <c r="J133" s="75">
        <f t="shared" si="0"/>
        <v>829452.9699999999</v>
      </c>
      <c r="K133" s="16">
        <f>G133+H133+I133+J133</f>
        <v>3909972.8749999995</v>
      </c>
    </row>
    <row r="134" spans="1:11" s="17" customFormat="1" ht="14.25" thickBot="1">
      <c r="A134" s="184" t="s">
        <v>124</v>
      </c>
      <c r="B134" s="185"/>
      <c r="C134" s="185"/>
      <c r="D134" s="37"/>
      <c r="E134" s="37"/>
      <c r="F134" s="37">
        <f t="shared" si="0"/>
        <v>972993.21</v>
      </c>
      <c r="G134" s="38">
        <f t="shared" si="0"/>
        <v>243248.3025</v>
      </c>
      <c r="H134" s="37">
        <f t="shared" si="0"/>
        <v>243248.31000000003</v>
      </c>
      <c r="I134" s="37">
        <f t="shared" si="0"/>
        <v>243248.31000000003</v>
      </c>
      <c r="J134" s="37">
        <f t="shared" si="0"/>
        <v>243248.31000000003</v>
      </c>
      <c r="K134" s="17">
        <f>G134+H134+I134+J134</f>
        <v>972993.2325000002</v>
      </c>
    </row>
    <row r="135" spans="1:11" s="17" customFormat="1" ht="14.25" thickBot="1">
      <c r="A135" s="184" t="s">
        <v>125</v>
      </c>
      <c r="B135" s="185"/>
      <c r="C135" s="185"/>
      <c r="D135" s="37"/>
      <c r="E135" s="37"/>
      <c r="F135" s="37">
        <v>767557.44</v>
      </c>
      <c r="G135" s="37">
        <f>F135/4</f>
        <v>191889.36</v>
      </c>
      <c r="H135" s="37">
        <v>191889.36</v>
      </c>
      <c r="I135" s="37">
        <v>191889.36</v>
      </c>
      <c r="J135" s="39">
        <v>191889.36</v>
      </c>
      <c r="K135" s="17">
        <f>G135+H135+I135+J135</f>
        <v>767557.44</v>
      </c>
    </row>
    <row r="136" spans="1:11" s="17" customFormat="1" ht="14.25" thickBot="1">
      <c r="A136" s="184" t="s">
        <v>126</v>
      </c>
      <c r="B136" s="185"/>
      <c r="C136" s="185"/>
      <c r="D136" s="37"/>
      <c r="E136" s="37"/>
      <c r="F136" s="38">
        <f>SUM(F133:F135)</f>
        <v>5632523.539999999</v>
      </c>
      <c r="G136" s="38">
        <f>SUM(G133:G135)</f>
        <v>1301594.9524999997</v>
      </c>
      <c r="H136" s="38">
        <f>SUM(H133:H135)</f>
        <v>1414145.0100000002</v>
      </c>
      <c r="I136" s="38">
        <f>SUM(I133:I135)</f>
        <v>1670192.9449999998</v>
      </c>
      <c r="J136" s="71">
        <f>SUM(J133:J135)</f>
        <v>1264590.6399999997</v>
      </c>
      <c r="K136" s="17">
        <f>G136+H136+I136+J136</f>
        <v>5650523.547499999</v>
      </c>
    </row>
    <row r="137" ht="13.5">
      <c r="G137" s="16"/>
    </row>
    <row r="138" spans="2:8" ht="12.75">
      <c r="B138" s="144" t="s">
        <v>147</v>
      </c>
      <c r="H138" s="16"/>
    </row>
    <row r="139" ht="12.75">
      <c r="B139" s="145"/>
    </row>
    <row r="140" ht="12.75">
      <c r="B140" s="145" t="s">
        <v>136</v>
      </c>
    </row>
  </sheetData>
  <mergeCells count="49">
    <mergeCell ref="G9:J9"/>
    <mergeCell ref="A9:A10"/>
    <mergeCell ref="B9:B10"/>
    <mergeCell ref="A11:A24"/>
    <mergeCell ref="B11:B24"/>
    <mergeCell ref="C9:C10"/>
    <mergeCell ref="D9:D10"/>
    <mergeCell ref="E9:E10"/>
    <mergeCell ref="F9:F10"/>
    <mergeCell ref="A25:A33"/>
    <mergeCell ref="B25:B33"/>
    <mergeCell ref="A34:A47"/>
    <mergeCell ref="B34:B47"/>
    <mergeCell ref="A48:A54"/>
    <mergeCell ref="B48:B54"/>
    <mergeCell ref="A55:A61"/>
    <mergeCell ref="B55:B61"/>
    <mergeCell ref="A62:A69"/>
    <mergeCell ref="B62:B69"/>
    <mergeCell ref="A70:A78"/>
    <mergeCell ref="B70:B78"/>
    <mergeCell ref="A79:A86"/>
    <mergeCell ref="B79:B86"/>
    <mergeCell ref="A87:A92"/>
    <mergeCell ref="B87:B92"/>
    <mergeCell ref="A93:A98"/>
    <mergeCell ref="B93:B98"/>
    <mergeCell ref="A99:A105"/>
    <mergeCell ref="B99:B105"/>
    <mergeCell ref="A106:A114"/>
    <mergeCell ref="B106:B114"/>
    <mergeCell ref="A115:A118"/>
    <mergeCell ref="B115:B118"/>
    <mergeCell ref="A133:C133"/>
    <mergeCell ref="A134:C134"/>
    <mergeCell ref="A119:A122"/>
    <mergeCell ref="B119:B122"/>
    <mergeCell ref="A123:A127"/>
    <mergeCell ref="B123:B127"/>
    <mergeCell ref="A135:C135"/>
    <mergeCell ref="A136:C136"/>
    <mergeCell ref="H1:J1"/>
    <mergeCell ref="H2:J2"/>
    <mergeCell ref="H3:J3"/>
    <mergeCell ref="H4:J4"/>
    <mergeCell ref="A6:J6"/>
    <mergeCell ref="A7:J7"/>
    <mergeCell ref="A128:A132"/>
    <mergeCell ref="B128:B13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H28"/>
  <sheetViews>
    <sheetView workbookViewId="0" topLeftCell="A1">
      <selection activeCell="F30" sqref="F30"/>
    </sheetView>
  </sheetViews>
  <sheetFormatPr defaultColWidth="9.140625" defaultRowHeight="12.75"/>
  <cols>
    <col min="1" max="1" width="45.140625" style="0" customWidth="1"/>
    <col min="4" max="4" width="10.57421875" style="0" bestFit="1" customWidth="1"/>
  </cols>
  <sheetData>
    <row r="2" spans="1:8" ht="12.75">
      <c r="A2" s="168" t="s">
        <v>15</v>
      </c>
      <c r="B2" s="168"/>
      <c r="C2" s="168"/>
      <c r="D2" s="168"/>
      <c r="E2" s="168"/>
      <c r="F2" s="168"/>
      <c r="G2" s="168"/>
      <c r="H2" s="168"/>
    </row>
    <row r="3" spans="1:8" ht="12.75">
      <c r="A3" s="169" t="s">
        <v>16</v>
      </c>
      <c r="B3" s="168"/>
      <c r="C3" s="168"/>
      <c r="D3" s="168"/>
      <c r="E3" s="168"/>
      <c r="F3" s="168"/>
      <c r="G3" s="168"/>
      <c r="H3" s="168"/>
    </row>
    <row r="4" spans="1:8" ht="12.75">
      <c r="A4" s="168" t="s">
        <v>17</v>
      </c>
      <c r="B4" s="168"/>
      <c r="C4" s="168"/>
      <c r="D4" s="168"/>
      <c r="E4" s="168"/>
      <c r="F4" s="168"/>
      <c r="G4" s="168"/>
      <c r="H4" s="168"/>
    </row>
    <row r="5" ht="13.5" thickBot="1"/>
    <row r="6" spans="1:8" ht="13.5" thickBot="1">
      <c r="A6" s="170" t="s">
        <v>0</v>
      </c>
      <c r="B6" s="170" t="s">
        <v>1</v>
      </c>
      <c r="C6" s="170" t="s">
        <v>2</v>
      </c>
      <c r="D6" s="172" t="s">
        <v>3</v>
      </c>
      <c r="E6" s="174" t="s">
        <v>4</v>
      </c>
      <c r="F6" s="175"/>
      <c r="G6" s="175"/>
      <c r="H6" s="176"/>
    </row>
    <row r="7" spans="1:8" ht="13.5" thickBot="1">
      <c r="A7" s="171"/>
      <c r="B7" s="171"/>
      <c r="C7" s="171"/>
      <c r="D7" s="173"/>
      <c r="E7" s="22" t="s">
        <v>5</v>
      </c>
      <c r="F7" s="22" t="s">
        <v>6</v>
      </c>
      <c r="G7" s="22" t="s">
        <v>7</v>
      </c>
      <c r="H7" s="22" t="s">
        <v>8</v>
      </c>
    </row>
    <row r="8" spans="1:8" ht="12.75">
      <c r="A8" s="23" t="s">
        <v>60</v>
      </c>
      <c r="B8" s="24" t="s">
        <v>61</v>
      </c>
      <c r="C8" s="24">
        <v>300</v>
      </c>
      <c r="D8" s="24">
        <f>C8*320</f>
        <v>96000</v>
      </c>
      <c r="E8" s="24"/>
      <c r="F8" s="24">
        <f>D8/2</f>
        <v>48000</v>
      </c>
      <c r="G8" s="24">
        <v>48000</v>
      </c>
      <c r="H8" s="25"/>
    </row>
    <row r="9" spans="1:8" ht="12.75">
      <c r="A9" s="18" t="s">
        <v>62</v>
      </c>
      <c r="B9" s="3" t="s">
        <v>63</v>
      </c>
      <c r="C9" s="3">
        <v>3</v>
      </c>
      <c r="D9" s="3">
        <f>3*8000</f>
        <v>24000</v>
      </c>
      <c r="E9" s="3"/>
      <c r="F9" s="3"/>
      <c r="G9" s="3">
        <v>24000</v>
      </c>
      <c r="H9" s="19"/>
    </row>
    <row r="10" spans="1:8" ht="12.75">
      <c r="A10" s="18" t="s">
        <v>64</v>
      </c>
      <c r="B10" s="3"/>
      <c r="C10" s="3"/>
      <c r="D10" s="3"/>
      <c r="E10" s="3"/>
      <c r="F10" s="3"/>
      <c r="G10" s="3"/>
      <c r="H10" s="19"/>
    </row>
    <row r="11" spans="1:8" ht="12.75">
      <c r="A11" s="18" t="s">
        <v>65</v>
      </c>
      <c r="B11" s="3" t="s">
        <v>63</v>
      </c>
      <c r="C11" s="3">
        <v>70</v>
      </c>
      <c r="D11" s="3">
        <f>C11*700</f>
        <v>49000</v>
      </c>
      <c r="E11" s="3"/>
      <c r="F11" s="3">
        <f>D11</f>
        <v>49000</v>
      </c>
      <c r="G11" s="3"/>
      <c r="H11" s="19"/>
    </row>
    <row r="12" spans="1:8" ht="12.75">
      <c r="A12" s="18" t="s">
        <v>66</v>
      </c>
      <c r="B12" s="3" t="s">
        <v>63</v>
      </c>
      <c r="C12" s="3">
        <v>40</v>
      </c>
      <c r="D12" s="3">
        <f>C12*700</f>
        <v>28000</v>
      </c>
      <c r="E12" s="3"/>
      <c r="F12" s="3"/>
      <c r="G12" s="3">
        <v>28000</v>
      </c>
      <c r="H12" s="19"/>
    </row>
    <row r="13" spans="1:8" ht="12.75">
      <c r="A13" s="18" t="s">
        <v>67</v>
      </c>
      <c r="B13" s="3" t="s">
        <v>63</v>
      </c>
      <c r="C13" s="3">
        <v>40</v>
      </c>
      <c r="D13" s="3">
        <f>C13*700</f>
        <v>28000</v>
      </c>
      <c r="E13" s="3"/>
      <c r="F13" s="3"/>
      <c r="G13" s="3">
        <v>28000</v>
      </c>
      <c r="H13" s="19"/>
    </row>
    <row r="14" spans="1:8" ht="12.75">
      <c r="A14" s="20" t="s">
        <v>68</v>
      </c>
      <c r="B14" s="3" t="s">
        <v>63</v>
      </c>
      <c r="C14" s="3">
        <v>4</v>
      </c>
      <c r="D14" s="3">
        <f>C14*107000+8237.68</f>
        <v>436237.68</v>
      </c>
      <c r="E14" s="3">
        <v>436237.68</v>
      </c>
      <c r="F14" s="3"/>
      <c r="G14" s="3"/>
      <c r="H14" s="19"/>
    </row>
    <row r="15" spans="1:8" ht="13.5" customHeight="1">
      <c r="A15" s="18" t="s">
        <v>69</v>
      </c>
      <c r="B15" s="3" t="s">
        <v>63</v>
      </c>
      <c r="C15" s="3">
        <v>11</v>
      </c>
      <c r="D15" s="3">
        <v>242000</v>
      </c>
      <c r="E15" s="3"/>
      <c r="F15" s="3">
        <f>D15/2</f>
        <v>121000</v>
      </c>
      <c r="G15" s="3">
        <v>121000</v>
      </c>
      <c r="H15" s="19"/>
    </row>
    <row r="16" spans="1:8" ht="12.75">
      <c r="A16" s="20" t="s">
        <v>76</v>
      </c>
      <c r="B16" s="3" t="s">
        <v>61</v>
      </c>
      <c r="C16" s="3">
        <v>90</v>
      </c>
      <c r="D16" s="3">
        <f>C16*300</f>
        <v>27000</v>
      </c>
      <c r="E16" s="3">
        <v>27000</v>
      </c>
      <c r="F16" s="3"/>
      <c r="G16" s="3"/>
      <c r="H16" s="19"/>
    </row>
    <row r="17" spans="1:8" ht="12.75">
      <c r="A17" s="21" t="s">
        <v>71</v>
      </c>
      <c r="B17" s="3" t="s">
        <v>61</v>
      </c>
      <c r="C17" s="3">
        <v>60</v>
      </c>
      <c r="D17" s="3">
        <f>C17*700</f>
        <v>42000</v>
      </c>
      <c r="E17" s="3"/>
      <c r="F17" s="3"/>
      <c r="G17" s="3"/>
      <c r="H17" s="19">
        <v>42000</v>
      </c>
    </row>
    <row r="18" spans="1:8" ht="13.5" thickBot="1">
      <c r="A18" s="26" t="s">
        <v>70</v>
      </c>
      <c r="B18" s="27" t="s">
        <v>63</v>
      </c>
      <c r="C18" s="27">
        <v>45</v>
      </c>
      <c r="D18" s="27">
        <f>337902.74-42000</f>
        <v>295902.74</v>
      </c>
      <c r="E18" s="27"/>
      <c r="F18" s="27"/>
      <c r="G18" s="27"/>
      <c r="H18" s="28">
        <v>295902.74</v>
      </c>
    </row>
    <row r="19" spans="1:8" s="17" customFormat="1" ht="14.25" thickBot="1">
      <c r="A19" s="36" t="s">
        <v>9</v>
      </c>
      <c r="B19" s="37"/>
      <c r="C19" s="37"/>
      <c r="D19" s="38">
        <f>SUM(D8:D18)</f>
        <v>1268140.42</v>
      </c>
      <c r="E19" s="37">
        <f>SUM(E8:E18)</f>
        <v>463237.68</v>
      </c>
      <c r="F19" s="37">
        <f>SUM(F8:F18)</f>
        <v>218000</v>
      </c>
      <c r="G19" s="37">
        <f>SUM(G8:G18)</f>
        <v>249000</v>
      </c>
      <c r="H19" s="39">
        <f>SUM(H8:H18)</f>
        <v>337902.74</v>
      </c>
    </row>
    <row r="20" spans="1:8" ht="13.5" thickBot="1">
      <c r="A20" s="29" t="s">
        <v>11</v>
      </c>
      <c r="B20" s="30" t="s">
        <v>59</v>
      </c>
      <c r="C20" s="30">
        <v>20</v>
      </c>
      <c r="D20" s="30">
        <v>317035.1</v>
      </c>
      <c r="E20" s="30">
        <f>D20/4</f>
        <v>79258.775</v>
      </c>
      <c r="F20" s="30">
        <v>79258.78</v>
      </c>
      <c r="G20" s="30">
        <v>79258.78</v>
      </c>
      <c r="H20" s="31">
        <v>79258.78</v>
      </c>
    </row>
    <row r="21" spans="1:8" s="17" customFormat="1" ht="14.25" thickBot="1">
      <c r="A21" s="32" t="s">
        <v>10</v>
      </c>
      <c r="B21" s="33"/>
      <c r="C21" s="33"/>
      <c r="D21" s="34">
        <f>D19+D20</f>
        <v>1585175.52</v>
      </c>
      <c r="E21" s="33">
        <f>SUM(E19:E20)</f>
        <v>542496.455</v>
      </c>
      <c r="F21" s="33">
        <f>SUM(F19:F20)</f>
        <v>297258.78</v>
      </c>
      <c r="G21" s="33">
        <f>SUM(G19:G20)</f>
        <v>328258.78</v>
      </c>
      <c r="H21" s="35">
        <f>SUM(H19:H20)</f>
        <v>417161.52</v>
      </c>
    </row>
    <row r="24" spans="1:3" ht="12.75">
      <c r="A24" t="s">
        <v>12</v>
      </c>
      <c r="C24" t="s">
        <v>13</v>
      </c>
    </row>
    <row r="26" ht="12.75">
      <c r="A26" t="s">
        <v>14</v>
      </c>
    </row>
    <row r="28" ht="12.75">
      <c r="C28" s="16"/>
    </row>
  </sheetData>
  <mergeCells count="8">
    <mergeCell ref="A2:H2"/>
    <mergeCell ref="A3:H3"/>
    <mergeCell ref="A4:H4"/>
    <mergeCell ref="A6:A7"/>
    <mergeCell ref="B6:B7"/>
    <mergeCell ref="C6:C7"/>
    <mergeCell ref="D6:D7"/>
    <mergeCell ref="E6:H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2:H21"/>
  <sheetViews>
    <sheetView workbookViewId="0" topLeftCell="A1">
      <selection activeCell="A22" sqref="A22"/>
    </sheetView>
  </sheetViews>
  <sheetFormatPr defaultColWidth="9.140625" defaultRowHeight="12.75"/>
  <cols>
    <col min="1" max="1" width="45.28125" style="0" customWidth="1"/>
    <col min="2" max="2" width="12.8515625" style="0" customWidth="1"/>
    <col min="3" max="3" width="11.00390625" style="0" customWidth="1"/>
  </cols>
  <sheetData>
    <row r="2" spans="1:8" ht="12.75">
      <c r="A2" s="168" t="s">
        <v>15</v>
      </c>
      <c r="B2" s="168"/>
      <c r="C2" s="168"/>
      <c r="D2" s="168"/>
      <c r="E2" s="168"/>
      <c r="F2" s="168"/>
      <c r="G2" s="168"/>
      <c r="H2" s="168"/>
    </row>
    <row r="3" spans="1:8" ht="12.75">
      <c r="A3" s="169" t="s">
        <v>18</v>
      </c>
      <c r="B3" s="168"/>
      <c r="C3" s="168"/>
      <c r="D3" s="168"/>
      <c r="E3" s="168"/>
      <c r="F3" s="168"/>
      <c r="G3" s="168"/>
      <c r="H3" s="168"/>
    </row>
    <row r="4" spans="1:8" ht="12.75">
      <c r="A4" s="168" t="s">
        <v>17</v>
      </c>
      <c r="B4" s="168"/>
      <c r="C4" s="168"/>
      <c r="D4" s="168"/>
      <c r="E4" s="168"/>
      <c r="F4" s="168"/>
      <c r="G4" s="168"/>
      <c r="H4" s="168"/>
    </row>
    <row r="5" ht="13.5" thickBot="1"/>
    <row r="6" spans="1:8" ht="13.5" thickBot="1">
      <c r="A6" s="170" t="s">
        <v>0</v>
      </c>
      <c r="B6" s="170" t="s">
        <v>1</v>
      </c>
      <c r="C6" s="170" t="s">
        <v>2</v>
      </c>
      <c r="D6" s="172" t="s">
        <v>3</v>
      </c>
      <c r="E6" s="174" t="s">
        <v>4</v>
      </c>
      <c r="F6" s="175"/>
      <c r="G6" s="175"/>
      <c r="H6" s="176"/>
    </row>
    <row r="7" spans="1:8" s="1" customFormat="1" ht="13.5" thickBot="1">
      <c r="A7" s="171"/>
      <c r="B7" s="171"/>
      <c r="C7" s="171"/>
      <c r="D7" s="173"/>
      <c r="E7" s="22" t="s">
        <v>5</v>
      </c>
      <c r="F7" s="22" t="s">
        <v>6</v>
      </c>
      <c r="G7" s="22" t="s">
        <v>7</v>
      </c>
      <c r="H7" s="22" t="s">
        <v>8</v>
      </c>
    </row>
    <row r="8" spans="1:8" ht="12.75">
      <c r="A8" s="23" t="s">
        <v>60</v>
      </c>
      <c r="B8" s="24" t="s">
        <v>61</v>
      </c>
      <c r="C8" s="24">
        <v>300</v>
      </c>
      <c r="D8" s="24">
        <f>C8*290</f>
        <v>87000</v>
      </c>
      <c r="E8" s="24"/>
      <c r="F8" s="24"/>
      <c r="G8" s="3">
        <f>D8/2</f>
        <v>43500</v>
      </c>
      <c r="H8" s="25">
        <v>43500</v>
      </c>
    </row>
    <row r="9" spans="1:8" ht="12.75">
      <c r="A9" s="20" t="s">
        <v>77</v>
      </c>
      <c r="B9" s="3"/>
      <c r="C9" s="3"/>
      <c r="D9" s="3"/>
      <c r="E9" s="3"/>
      <c r="F9" s="3"/>
      <c r="H9" s="19"/>
    </row>
    <row r="10" spans="1:8" ht="12.75">
      <c r="A10" s="18" t="s">
        <v>73</v>
      </c>
      <c r="B10" s="3" t="s">
        <v>72</v>
      </c>
      <c r="C10" s="3">
        <v>30</v>
      </c>
      <c r="D10" s="3">
        <v>14200</v>
      </c>
      <c r="E10" s="3"/>
      <c r="F10" s="3">
        <v>14200</v>
      </c>
      <c r="G10" s="3"/>
      <c r="H10" s="19"/>
    </row>
    <row r="11" spans="1:8" ht="12.75">
      <c r="A11" s="18" t="s">
        <v>74</v>
      </c>
      <c r="B11" s="3" t="s">
        <v>72</v>
      </c>
      <c r="C11" s="3">
        <v>300</v>
      </c>
      <c r="D11" s="3">
        <v>126060.4</v>
      </c>
      <c r="E11" s="3"/>
      <c r="F11" s="3"/>
      <c r="G11" s="3">
        <v>126060.4</v>
      </c>
      <c r="H11" s="19"/>
    </row>
    <row r="12" spans="1:8" ht="12.75">
      <c r="A12" s="18" t="s">
        <v>71</v>
      </c>
      <c r="B12" s="3" t="s">
        <v>61</v>
      </c>
      <c r="C12" s="3">
        <v>16</v>
      </c>
      <c r="D12" s="3">
        <f>C12*650</f>
        <v>10400</v>
      </c>
      <c r="E12" s="3"/>
      <c r="F12" s="3"/>
      <c r="G12" s="3"/>
      <c r="H12" s="19">
        <v>10400</v>
      </c>
    </row>
    <row r="13" spans="1:8" ht="13.5" thickBot="1">
      <c r="A13" s="20" t="s">
        <v>75</v>
      </c>
      <c r="B13" s="3" t="s">
        <v>63</v>
      </c>
      <c r="C13" s="3">
        <v>140</v>
      </c>
      <c r="D13" s="3">
        <f>C13*750</f>
        <v>105000</v>
      </c>
      <c r="E13" s="3"/>
      <c r="F13" s="3">
        <v>105000</v>
      </c>
      <c r="G13" s="3"/>
      <c r="H13" s="19"/>
    </row>
    <row r="14" spans="1:8" s="17" customFormat="1" ht="14.25" thickBot="1">
      <c r="A14" s="36" t="s">
        <v>9</v>
      </c>
      <c r="B14" s="37"/>
      <c r="C14" s="37"/>
      <c r="D14" s="37">
        <f>SUM(D8:D13)</f>
        <v>342660.4</v>
      </c>
      <c r="E14" s="37"/>
      <c r="F14" s="37">
        <f>SUM(F8:F13)</f>
        <v>119200</v>
      </c>
      <c r="G14" s="37">
        <f>SUM(G8:G13)</f>
        <v>169560.4</v>
      </c>
      <c r="H14" s="39">
        <f>SUM(H8:H13)</f>
        <v>53900</v>
      </c>
    </row>
    <row r="15" spans="1:8" s="17" customFormat="1" ht="14.25" thickBot="1">
      <c r="A15" s="146" t="s">
        <v>11</v>
      </c>
      <c r="B15" s="80" t="s">
        <v>59</v>
      </c>
      <c r="C15" s="80">
        <v>20</v>
      </c>
      <c r="D15" s="80">
        <v>85665.1</v>
      </c>
      <c r="E15" s="80">
        <f>D15/4</f>
        <v>21416.275</v>
      </c>
      <c r="F15" s="80">
        <v>21416.28</v>
      </c>
      <c r="G15" s="80">
        <v>21416.28</v>
      </c>
      <c r="H15" s="147">
        <v>21416.28</v>
      </c>
    </row>
    <row r="16" spans="1:8" s="17" customFormat="1" ht="14.25" thickBot="1">
      <c r="A16" s="36" t="s">
        <v>10</v>
      </c>
      <c r="B16" s="37"/>
      <c r="C16" s="37"/>
      <c r="D16" s="37">
        <f>SUM(D14:D15)</f>
        <v>428325.5</v>
      </c>
      <c r="E16" s="37">
        <f>SUM(E14:E15)</f>
        <v>21416.275</v>
      </c>
      <c r="F16" s="37">
        <f>SUM(F14:F15)</f>
        <v>140616.28</v>
      </c>
      <c r="G16" s="37">
        <f>SUM(G14:G15)</f>
        <v>190976.68</v>
      </c>
      <c r="H16" s="39">
        <f>SUM(H14:H15)</f>
        <v>75316.28</v>
      </c>
    </row>
    <row r="19" spans="1:3" ht="12.75">
      <c r="A19" t="s">
        <v>12</v>
      </c>
      <c r="C19" t="s">
        <v>13</v>
      </c>
    </row>
    <row r="21" ht="12.75">
      <c r="A21" s="66" t="s">
        <v>111</v>
      </c>
    </row>
  </sheetData>
  <mergeCells count="8">
    <mergeCell ref="A6:A7"/>
    <mergeCell ref="A2:H2"/>
    <mergeCell ref="A3:H3"/>
    <mergeCell ref="A4:H4"/>
    <mergeCell ref="E6:H6"/>
    <mergeCell ref="D6:D7"/>
    <mergeCell ref="C6:C7"/>
    <mergeCell ref="B6:B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2:I26"/>
  <sheetViews>
    <sheetView workbookViewId="0" topLeftCell="A1">
      <selection activeCell="F29" sqref="F29"/>
    </sheetView>
  </sheetViews>
  <sheetFormatPr defaultColWidth="9.140625" defaultRowHeight="12.75"/>
  <cols>
    <col min="1" max="1" width="47.421875" style="0" customWidth="1"/>
    <col min="6" max="6" width="10.421875" style="0" customWidth="1"/>
    <col min="9" max="9" width="9.57421875" style="0" bestFit="1" customWidth="1"/>
  </cols>
  <sheetData>
    <row r="2" spans="1:8" ht="12.75">
      <c r="A2" s="168" t="s">
        <v>15</v>
      </c>
      <c r="B2" s="168"/>
      <c r="C2" s="168"/>
      <c r="D2" s="168"/>
      <c r="E2" s="168"/>
      <c r="F2" s="168"/>
      <c r="G2" s="168"/>
      <c r="H2" s="168"/>
    </row>
    <row r="3" spans="1:8" ht="12.75">
      <c r="A3" s="169" t="s">
        <v>19</v>
      </c>
      <c r="B3" s="168"/>
      <c r="C3" s="168"/>
      <c r="D3" s="168"/>
      <c r="E3" s="168"/>
      <c r="F3" s="168"/>
      <c r="G3" s="168"/>
      <c r="H3" s="168"/>
    </row>
    <row r="4" spans="1:8" ht="12.75">
      <c r="A4" s="168" t="s">
        <v>17</v>
      </c>
      <c r="B4" s="168"/>
      <c r="C4" s="168"/>
      <c r="D4" s="168"/>
      <c r="E4" s="168"/>
      <c r="F4" s="168"/>
      <c r="G4" s="168"/>
      <c r="H4" s="168"/>
    </row>
    <row r="5" ht="13.5" thickBot="1"/>
    <row r="6" spans="1:8" ht="12.75">
      <c r="A6" s="177" t="s">
        <v>0</v>
      </c>
      <c r="B6" s="179" t="s">
        <v>1</v>
      </c>
      <c r="C6" s="179" t="s">
        <v>2</v>
      </c>
      <c r="D6" s="181" t="s">
        <v>3</v>
      </c>
      <c r="E6" s="179" t="s">
        <v>4</v>
      </c>
      <c r="F6" s="179"/>
      <c r="G6" s="179"/>
      <c r="H6" s="183"/>
    </row>
    <row r="7" spans="1:8" ht="13.5" thickBot="1">
      <c r="A7" s="178"/>
      <c r="B7" s="180"/>
      <c r="C7" s="180"/>
      <c r="D7" s="182"/>
      <c r="E7" s="43" t="s">
        <v>5</v>
      </c>
      <c r="F7" s="43" t="s">
        <v>6</v>
      </c>
      <c r="G7" s="43" t="s">
        <v>7</v>
      </c>
      <c r="H7" s="44" t="s">
        <v>8</v>
      </c>
    </row>
    <row r="8" spans="1:8" ht="12.75">
      <c r="A8" s="47" t="s">
        <v>78</v>
      </c>
      <c r="B8" s="24"/>
      <c r="C8" s="24"/>
      <c r="D8" s="24"/>
      <c r="E8" s="24"/>
      <c r="F8" s="24"/>
      <c r="G8" s="24"/>
      <c r="H8" s="60"/>
    </row>
    <row r="9" spans="1:8" ht="12.75">
      <c r="A9" s="18" t="s">
        <v>65</v>
      </c>
      <c r="B9" s="3" t="s">
        <v>63</v>
      </c>
      <c r="C9" s="3">
        <v>37</v>
      </c>
      <c r="D9" s="3">
        <v>28000</v>
      </c>
      <c r="E9" s="3"/>
      <c r="F9" s="3">
        <v>28000</v>
      </c>
      <c r="G9" s="3"/>
      <c r="H9" s="61"/>
    </row>
    <row r="10" spans="1:8" ht="12.75">
      <c r="A10" s="18" t="s">
        <v>66</v>
      </c>
      <c r="B10" s="3" t="s">
        <v>63</v>
      </c>
      <c r="C10" s="3">
        <v>8</v>
      </c>
      <c r="D10" s="3">
        <v>6800</v>
      </c>
      <c r="E10" s="3"/>
      <c r="F10" s="3"/>
      <c r="G10" s="3">
        <v>6800</v>
      </c>
      <c r="H10" s="61"/>
    </row>
    <row r="11" spans="1:8" ht="12.75">
      <c r="A11" s="18" t="s">
        <v>67</v>
      </c>
      <c r="B11" s="3" t="s">
        <v>63</v>
      </c>
      <c r="C11" s="3">
        <v>13</v>
      </c>
      <c r="D11" s="3">
        <v>8000</v>
      </c>
      <c r="E11" s="3"/>
      <c r="F11" s="3">
        <v>8000</v>
      </c>
      <c r="G11" s="48"/>
      <c r="H11" s="61"/>
    </row>
    <row r="12" spans="1:8" ht="25.5">
      <c r="A12" s="45" t="s">
        <v>83</v>
      </c>
      <c r="B12" s="3" t="s">
        <v>63</v>
      </c>
      <c r="C12" s="3">
        <v>25</v>
      </c>
      <c r="D12" s="3">
        <v>18085.11</v>
      </c>
      <c r="E12" s="3"/>
      <c r="F12" s="3"/>
      <c r="G12" s="3"/>
      <c r="H12" s="61">
        <v>18085.11</v>
      </c>
    </row>
    <row r="13" spans="1:8" ht="12.75">
      <c r="A13" s="20" t="s">
        <v>71</v>
      </c>
      <c r="B13" s="3" t="s">
        <v>61</v>
      </c>
      <c r="C13" s="3">
        <v>10</v>
      </c>
      <c r="D13" s="3">
        <v>6200</v>
      </c>
      <c r="E13" s="48"/>
      <c r="F13" s="3"/>
      <c r="G13" s="3"/>
      <c r="H13" s="61">
        <v>6200</v>
      </c>
    </row>
    <row r="14" spans="1:8" ht="12.75">
      <c r="A14" s="18" t="s">
        <v>79</v>
      </c>
      <c r="B14" s="3" t="s">
        <v>63</v>
      </c>
      <c r="C14" s="3">
        <v>1</v>
      </c>
      <c r="D14" s="3">
        <v>8500</v>
      </c>
      <c r="E14" s="19">
        <v>8500</v>
      </c>
      <c r="F14" s="3"/>
      <c r="G14" s="3"/>
      <c r="H14" s="62"/>
    </row>
    <row r="15" spans="1:8" ht="12.75">
      <c r="A15" s="18" t="s">
        <v>93</v>
      </c>
      <c r="B15" s="3" t="s">
        <v>72</v>
      </c>
      <c r="C15" s="3">
        <v>30</v>
      </c>
      <c r="D15" s="3">
        <v>35828.37</v>
      </c>
      <c r="E15" s="59"/>
      <c r="F15" s="3">
        <v>20000</v>
      </c>
      <c r="G15" s="3">
        <v>15828.37</v>
      </c>
      <c r="H15" s="61"/>
    </row>
    <row r="16" spans="1:8" ht="12.75">
      <c r="A16" s="18" t="s">
        <v>81</v>
      </c>
      <c r="B16" s="3" t="s">
        <v>72</v>
      </c>
      <c r="C16" s="3">
        <v>5</v>
      </c>
      <c r="D16" s="3">
        <f>C16*980</f>
        <v>4900</v>
      </c>
      <c r="E16" s="3"/>
      <c r="F16" s="3"/>
      <c r="G16" s="3"/>
      <c r="H16" s="61">
        <v>4900</v>
      </c>
    </row>
    <row r="17" spans="1:8" ht="13.5" customHeight="1">
      <c r="A17" s="18" t="s">
        <v>82</v>
      </c>
      <c r="B17" s="3" t="s">
        <v>72</v>
      </c>
      <c r="C17" s="3">
        <v>3.5</v>
      </c>
      <c r="D17" s="3">
        <v>3000</v>
      </c>
      <c r="E17" s="3"/>
      <c r="F17" s="3"/>
      <c r="G17" s="3"/>
      <c r="H17" s="61">
        <v>3000</v>
      </c>
    </row>
    <row r="18" spans="1:8" ht="26.25" thickBot="1">
      <c r="A18" s="49" t="s">
        <v>80</v>
      </c>
      <c r="B18" s="27" t="s">
        <v>63</v>
      </c>
      <c r="C18" s="27">
        <v>10</v>
      </c>
      <c r="D18" s="27">
        <v>30000</v>
      </c>
      <c r="E18" s="27"/>
      <c r="F18" s="27"/>
      <c r="G18" s="27">
        <v>30000</v>
      </c>
      <c r="H18" s="63"/>
    </row>
    <row r="19" spans="1:9" s="17" customFormat="1" ht="14.25" thickBot="1">
      <c r="A19" s="36" t="s">
        <v>9</v>
      </c>
      <c r="B19" s="37"/>
      <c r="C19" s="37"/>
      <c r="D19" s="37">
        <f>SUM(D8:D18)</f>
        <v>149313.48</v>
      </c>
      <c r="E19" s="37">
        <f>SUM(E9:E18)</f>
        <v>8500</v>
      </c>
      <c r="F19" s="37">
        <f>SUM(F8:F18)</f>
        <v>56000</v>
      </c>
      <c r="G19" s="37">
        <f>SUM(G8:G18)</f>
        <v>52628.37</v>
      </c>
      <c r="H19" s="39">
        <f>SUM(H8:H18)</f>
        <v>32185.11</v>
      </c>
      <c r="I19" s="77"/>
    </row>
    <row r="20" spans="1:8" s="17" customFormat="1" ht="14.25" thickBot="1">
      <c r="A20" s="32" t="s">
        <v>11</v>
      </c>
      <c r="B20" s="33"/>
      <c r="C20" s="33"/>
      <c r="D20" s="33">
        <v>37328.37</v>
      </c>
      <c r="E20" s="34">
        <f>D20/4</f>
        <v>9332.0925</v>
      </c>
      <c r="F20" s="34">
        <v>9332.09</v>
      </c>
      <c r="G20" s="34">
        <v>9332.09</v>
      </c>
      <c r="H20" s="72">
        <v>9332.09</v>
      </c>
    </row>
    <row r="21" spans="1:9" s="17" customFormat="1" ht="14.25" thickBot="1">
      <c r="A21" s="32" t="s">
        <v>10</v>
      </c>
      <c r="B21" s="33"/>
      <c r="C21" s="33"/>
      <c r="D21" s="33">
        <f>SUM(D19:D20)</f>
        <v>186641.85</v>
      </c>
      <c r="E21" s="34">
        <f>SUM(E19:E20)</f>
        <v>17832.0925</v>
      </c>
      <c r="F21" s="34">
        <f>SUM(F19:F20)</f>
        <v>65332.09</v>
      </c>
      <c r="G21" s="34">
        <f>SUM(G19:G20)</f>
        <v>61960.46000000001</v>
      </c>
      <c r="H21" s="72">
        <f>SUM(H19:H20)</f>
        <v>41517.2</v>
      </c>
      <c r="I21" s="73"/>
    </row>
    <row r="24" spans="1:3" ht="12.75">
      <c r="A24" t="s">
        <v>12</v>
      </c>
      <c r="C24" t="s">
        <v>13</v>
      </c>
    </row>
    <row r="26" ht="12.75">
      <c r="A26" s="66" t="s">
        <v>111</v>
      </c>
    </row>
  </sheetData>
  <mergeCells count="8">
    <mergeCell ref="A2:H2"/>
    <mergeCell ref="A3:H3"/>
    <mergeCell ref="A4:H4"/>
    <mergeCell ref="A6:A7"/>
    <mergeCell ref="B6:B7"/>
    <mergeCell ref="C6:C7"/>
    <mergeCell ref="D6:D7"/>
    <mergeCell ref="E6:H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2:I19"/>
  <sheetViews>
    <sheetView workbookViewId="0" topLeftCell="A1">
      <selection activeCell="H24" sqref="H24"/>
    </sheetView>
  </sheetViews>
  <sheetFormatPr defaultColWidth="9.140625" defaultRowHeight="12.75"/>
  <cols>
    <col min="1" max="1" width="46.421875" style="0" customWidth="1"/>
  </cols>
  <sheetData>
    <row r="2" spans="1:8" ht="12.75">
      <c r="A2" s="168" t="s">
        <v>15</v>
      </c>
      <c r="B2" s="168"/>
      <c r="C2" s="168"/>
      <c r="D2" s="168"/>
      <c r="E2" s="168"/>
      <c r="F2" s="168"/>
      <c r="G2" s="168"/>
      <c r="H2" s="168"/>
    </row>
    <row r="3" spans="1:8" ht="12.75">
      <c r="A3" s="169" t="s">
        <v>23</v>
      </c>
      <c r="B3" s="168"/>
      <c r="C3" s="168"/>
      <c r="D3" s="168"/>
      <c r="E3" s="168"/>
      <c r="F3" s="168"/>
      <c r="G3" s="168"/>
      <c r="H3" s="168"/>
    </row>
    <row r="4" spans="1:8" ht="12.75">
      <c r="A4" s="168" t="s">
        <v>17</v>
      </c>
      <c r="B4" s="168"/>
      <c r="C4" s="168"/>
      <c r="D4" s="168"/>
      <c r="E4" s="168"/>
      <c r="F4" s="168"/>
      <c r="G4" s="168"/>
      <c r="H4" s="168"/>
    </row>
    <row r="5" ht="13.5" thickBot="1"/>
    <row r="6" spans="1:8" ht="12.75">
      <c r="A6" s="177" t="s">
        <v>0</v>
      </c>
      <c r="B6" s="179" t="s">
        <v>1</v>
      </c>
      <c r="C6" s="179" t="s">
        <v>2</v>
      </c>
      <c r="D6" s="181" t="s">
        <v>3</v>
      </c>
      <c r="E6" s="179" t="s">
        <v>4</v>
      </c>
      <c r="F6" s="179"/>
      <c r="G6" s="179"/>
      <c r="H6" s="183"/>
    </row>
    <row r="7" spans="1:8" ht="13.5" thickBot="1">
      <c r="A7" s="178"/>
      <c r="B7" s="180"/>
      <c r="C7" s="180"/>
      <c r="D7" s="182"/>
      <c r="E7" s="43" t="s">
        <v>5</v>
      </c>
      <c r="F7" s="43" t="s">
        <v>6</v>
      </c>
      <c r="G7" s="43" t="s">
        <v>7</v>
      </c>
      <c r="H7" s="44" t="s">
        <v>8</v>
      </c>
    </row>
    <row r="8" spans="1:8" ht="25.5">
      <c r="A8" s="50" t="s">
        <v>83</v>
      </c>
      <c r="B8" s="24" t="s">
        <v>63</v>
      </c>
      <c r="C8" s="24">
        <v>27</v>
      </c>
      <c r="D8" s="24">
        <f>C8*750</f>
        <v>20250</v>
      </c>
      <c r="E8" s="24"/>
      <c r="F8" s="24"/>
      <c r="G8" s="24">
        <v>20250</v>
      </c>
      <c r="H8" s="25"/>
    </row>
    <row r="9" spans="1:8" ht="12.75">
      <c r="A9" s="58" t="s">
        <v>90</v>
      </c>
      <c r="B9" s="53" t="s">
        <v>72</v>
      </c>
      <c r="C9" s="53">
        <v>14</v>
      </c>
      <c r="D9" s="53">
        <v>17161.69</v>
      </c>
      <c r="E9" s="53"/>
      <c r="F9" s="53"/>
      <c r="G9" s="53"/>
      <c r="H9" s="54">
        <v>17161.69</v>
      </c>
    </row>
    <row r="10" spans="1:8" ht="12.75">
      <c r="A10" s="18" t="s">
        <v>82</v>
      </c>
      <c r="B10" s="3" t="s">
        <v>72</v>
      </c>
      <c r="C10" s="3">
        <v>5</v>
      </c>
      <c r="D10" s="3">
        <v>2000</v>
      </c>
      <c r="E10" s="3"/>
      <c r="F10" s="3"/>
      <c r="G10" s="3"/>
      <c r="H10" s="19">
        <v>2000</v>
      </c>
    </row>
    <row r="11" spans="1:8" ht="26.25" thickBot="1">
      <c r="A11" s="51" t="s">
        <v>84</v>
      </c>
      <c r="B11" s="27" t="s">
        <v>63</v>
      </c>
      <c r="C11" s="27">
        <v>1</v>
      </c>
      <c r="D11" s="27">
        <f>31235.05-2000</f>
        <v>29235.05</v>
      </c>
      <c r="E11" s="27"/>
      <c r="F11" s="27">
        <v>29235.05</v>
      </c>
      <c r="G11" s="27"/>
      <c r="H11" s="28"/>
    </row>
    <row r="12" spans="1:8" s="17" customFormat="1" ht="14.25" thickBot="1">
      <c r="A12" s="36" t="s">
        <v>9</v>
      </c>
      <c r="B12" s="37"/>
      <c r="C12" s="37"/>
      <c r="D12" s="37">
        <f>SUM(D8:D11)</f>
        <v>68646.74</v>
      </c>
      <c r="E12" s="37">
        <f>SUM(E8:E11)</f>
        <v>0</v>
      </c>
      <c r="F12" s="37">
        <f>SUM(F8:F11)</f>
        <v>29235.05</v>
      </c>
      <c r="G12" s="37">
        <f>SUM(G8:G11)</f>
        <v>20250</v>
      </c>
      <c r="H12" s="39">
        <f>SUM(H8:H11)</f>
        <v>19161.69</v>
      </c>
    </row>
    <row r="13" spans="1:8" s="17" customFormat="1" ht="14.25" thickBot="1">
      <c r="A13" s="146" t="s">
        <v>11</v>
      </c>
      <c r="B13" s="80"/>
      <c r="C13" s="70"/>
      <c r="D13" s="80">
        <v>17161.69</v>
      </c>
      <c r="E13" s="148">
        <f>D13/4</f>
        <v>4290.4225</v>
      </c>
      <c r="F13" s="148">
        <v>4290.42</v>
      </c>
      <c r="G13" s="148">
        <v>4290.42</v>
      </c>
      <c r="H13" s="149">
        <v>4290.42</v>
      </c>
    </row>
    <row r="14" spans="1:9" s="17" customFormat="1" ht="14.25" thickBot="1">
      <c r="A14" s="36" t="s">
        <v>10</v>
      </c>
      <c r="B14" s="37"/>
      <c r="C14" s="37"/>
      <c r="D14" s="37">
        <f>SUM(D12:D13)</f>
        <v>85808.43000000001</v>
      </c>
      <c r="E14" s="37">
        <f>SUM(E12:E13)</f>
        <v>4290.4225</v>
      </c>
      <c r="F14" s="37">
        <f>SUM(F12:F13)</f>
        <v>33525.47</v>
      </c>
      <c r="G14" s="37">
        <f>SUM(G12:G13)</f>
        <v>24540.42</v>
      </c>
      <c r="H14" s="39">
        <f>SUM(H12:H13)</f>
        <v>23452.11</v>
      </c>
      <c r="I14" s="150"/>
    </row>
    <row r="17" spans="1:3" ht="12.75">
      <c r="A17" t="s">
        <v>12</v>
      </c>
      <c r="C17" t="s">
        <v>13</v>
      </c>
    </row>
    <row r="19" ht="12.75">
      <c r="A19" t="s">
        <v>14</v>
      </c>
    </row>
  </sheetData>
  <mergeCells count="8">
    <mergeCell ref="A2:H2"/>
    <mergeCell ref="A3:H3"/>
    <mergeCell ref="A4:H4"/>
    <mergeCell ref="A6:A7"/>
    <mergeCell ref="B6:B7"/>
    <mergeCell ref="C6:C7"/>
    <mergeCell ref="D6:D7"/>
    <mergeCell ref="E6:H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2:H21"/>
  <sheetViews>
    <sheetView workbookViewId="0" topLeftCell="A1">
      <selection activeCell="I14" sqref="I14:I16"/>
    </sheetView>
  </sheetViews>
  <sheetFormatPr defaultColWidth="9.140625" defaultRowHeight="12.75"/>
  <cols>
    <col min="1" max="1" width="46.00390625" style="0" customWidth="1"/>
    <col min="4" max="4" width="11.00390625" style="0" customWidth="1"/>
  </cols>
  <sheetData>
    <row r="2" spans="1:8" ht="12.75">
      <c r="A2" s="168" t="s">
        <v>15</v>
      </c>
      <c r="B2" s="168"/>
      <c r="C2" s="168"/>
      <c r="D2" s="168"/>
      <c r="E2" s="168"/>
      <c r="F2" s="168"/>
      <c r="G2" s="168"/>
      <c r="H2" s="168"/>
    </row>
    <row r="3" spans="1:8" ht="12.75">
      <c r="A3" s="169" t="s">
        <v>22</v>
      </c>
      <c r="B3" s="168"/>
      <c r="C3" s="168"/>
      <c r="D3" s="168"/>
      <c r="E3" s="168"/>
      <c r="F3" s="168"/>
      <c r="G3" s="168"/>
      <c r="H3" s="168"/>
    </row>
    <row r="4" spans="1:8" ht="12.75">
      <c r="A4" s="168" t="s">
        <v>17</v>
      </c>
      <c r="B4" s="168"/>
      <c r="C4" s="168"/>
      <c r="D4" s="168"/>
      <c r="E4" s="168"/>
      <c r="F4" s="168"/>
      <c r="G4" s="168"/>
      <c r="H4" s="168"/>
    </row>
    <row r="5" ht="13.5" thickBot="1"/>
    <row r="6" spans="1:8" ht="12.75">
      <c r="A6" s="177" t="s">
        <v>0</v>
      </c>
      <c r="B6" s="179" t="s">
        <v>1</v>
      </c>
      <c r="C6" s="179" t="s">
        <v>2</v>
      </c>
      <c r="D6" s="181" t="s">
        <v>3</v>
      </c>
      <c r="E6" s="179" t="s">
        <v>4</v>
      </c>
      <c r="F6" s="179"/>
      <c r="G6" s="179"/>
      <c r="H6" s="183"/>
    </row>
    <row r="7" spans="1:8" ht="13.5" thickBot="1">
      <c r="A7" s="178"/>
      <c r="B7" s="180"/>
      <c r="C7" s="180"/>
      <c r="D7" s="182"/>
      <c r="E7" s="43" t="s">
        <v>5</v>
      </c>
      <c r="F7" s="43" t="s">
        <v>6</v>
      </c>
      <c r="G7" s="43" t="s">
        <v>7</v>
      </c>
      <c r="H7" s="44" t="s">
        <v>8</v>
      </c>
    </row>
    <row r="8" spans="1:8" ht="12.75">
      <c r="A8" s="52" t="s">
        <v>85</v>
      </c>
      <c r="B8" s="53" t="s">
        <v>61</v>
      </c>
      <c r="C8" s="53">
        <v>50</v>
      </c>
      <c r="D8" s="53">
        <v>32000</v>
      </c>
      <c r="E8" s="53">
        <v>32000</v>
      </c>
      <c r="F8" s="53"/>
      <c r="G8" s="53"/>
      <c r="H8" s="54"/>
    </row>
    <row r="9" spans="1:8" ht="12.75">
      <c r="A9" s="18" t="s">
        <v>92</v>
      </c>
      <c r="B9" s="3" t="s">
        <v>72</v>
      </c>
      <c r="C9" s="3">
        <v>100</v>
      </c>
      <c r="D9" s="3">
        <f>52258.82-18000</f>
        <v>34258.82</v>
      </c>
      <c r="E9" s="3"/>
      <c r="F9" s="3">
        <v>52258.82</v>
      </c>
      <c r="G9" s="3"/>
      <c r="H9" s="19"/>
    </row>
    <row r="10" spans="1:8" ht="12.75">
      <c r="A10" s="18" t="s">
        <v>93</v>
      </c>
      <c r="B10" s="3" t="s">
        <v>72</v>
      </c>
      <c r="C10" s="3">
        <v>15</v>
      </c>
      <c r="D10" s="3">
        <f>C10*1200</f>
        <v>18000</v>
      </c>
      <c r="E10" s="3"/>
      <c r="F10" s="3">
        <v>18000</v>
      </c>
      <c r="G10" s="3"/>
      <c r="H10" s="19"/>
    </row>
    <row r="11" spans="1:8" ht="12.75">
      <c r="A11" s="18" t="s">
        <v>64</v>
      </c>
      <c r="B11" s="56"/>
      <c r="C11" s="56"/>
      <c r="D11" s="56"/>
      <c r="E11" s="56"/>
      <c r="F11" s="56"/>
      <c r="G11" s="56"/>
      <c r="H11" s="57"/>
    </row>
    <row r="12" spans="1:8" ht="12.75">
      <c r="A12" s="18" t="s">
        <v>95</v>
      </c>
      <c r="B12" s="56" t="s">
        <v>63</v>
      </c>
      <c r="C12" s="56">
        <v>34</v>
      </c>
      <c r="D12" s="56">
        <v>47693.6</v>
      </c>
      <c r="E12" s="56">
        <f>18610.69*2</f>
        <v>37221.38</v>
      </c>
      <c r="F12" s="56">
        <f>D12-E12</f>
        <v>10472.220000000001</v>
      </c>
      <c r="G12" s="56"/>
      <c r="H12" s="57"/>
    </row>
    <row r="13" spans="1:8" ht="13.5" thickBot="1">
      <c r="A13" s="64" t="s">
        <v>91</v>
      </c>
      <c r="B13" s="27" t="s">
        <v>63</v>
      </c>
      <c r="C13" s="27">
        <v>27</v>
      </c>
      <c r="D13" s="27">
        <f>124776.5-0.03</f>
        <v>124776.47</v>
      </c>
      <c r="E13" s="27"/>
      <c r="F13" s="27"/>
      <c r="G13" s="27">
        <f>D13/2</f>
        <v>62388.235</v>
      </c>
      <c r="H13" s="28">
        <v>62388.24</v>
      </c>
    </row>
    <row r="14" spans="1:8" s="17" customFormat="1" ht="14.25" thickBot="1">
      <c r="A14" s="36" t="s">
        <v>9</v>
      </c>
      <c r="B14" s="37"/>
      <c r="C14" s="37"/>
      <c r="D14" s="37">
        <f>SUM(D8:D13)</f>
        <v>256728.89</v>
      </c>
      <c r="E14" s="37">
        <f>SUM(E8:E13)</f>
        <v>69221.38</v>
      </c>
      <c r="F14" s="37">
        <f>SUM(F8:F13)</f>
        <v>80731.04000000001</v>
      </c>
      <c r="G14" s="37">
        <f>SUM(G8:G13)</f>
        <v>62388.235</v>
      </c>
      <c r="H14" s="39">
        <f>SUM(H8:H13)</f>
        <v>62388.24</v>
      </c>
    </row>
    <row r="15" spans="1:8" s="17" customFormat="1" ht="14.25" thickBot="1">
      <c r="A15" s="146" t="s">
        <v>11</v>
      </c>
      <c r="B15" s="80" t="s">
        <v>59</v>
      </c>
      <c r="C15" s="80">
        <v>20</v>
      </c>
      <c r="D15" s="80">
        <v>64182.22</v>
      </c>
      <c r="E15" s="80">
        <f>D15/4</f>
        <v>16045.555</v>
      </c>
      <c r="F15" s="80">
        <v>16045.56</v>
      </c>
      <c r="G15" s="80">
        <v>16045.56</v>
      </c>
      <c r="H15" s="147">
        <v>16045.56</v>
      </c>
    </row>
    <row r="16" spans="1:8" s="17" customFormat="1" ht="14.25" thickBot="1">
      <c r="A16" s="36" t="s">
        <v>10</v>
      </c>
      <c r="B16" s="37"/>
      <c r="C16" s="37"/>
      <c r="D16" s="37">
        <f>SUM(D14:D15)</f>
        <v>320911.11</v>
      </c>
      <c r="E16" s="37">
        <f>SUM(E14:E15)</f>
        <v>85266.935</v>
      </c>
      <c r="F16" s="37">
        <f>SUM(F14:F15)</f>
        <v>96776.6</v>
      </c>
      <c r="G16" s="37">
        <f>SUM(G14:G15)</f>
        <v>78433.795</v>
      </c>
      <c r="H16" s="39">
        <f>SUM(H14:H15)</f>
        <v>78433.8</v>
      </c>
    </row>
    <row r="19" spans="1:3" ht="12.75">
      <c r="A19" t="s">
        <v>12</v>
      </c>
      <c r="C19" t="s">
        <v>13</v>
      </c>
    </row>
    <row r="21" spans="1:4" ht="12.75">
      <c r="A21" t="s">
        <v>14</v>
      </c>
      <c r="D21">
        <f>320911.11-D16</f>
        <v>0</v>
      </c>
    </row>
  </sheetData>
  <mergeCells count="8">
    <mergeCell ref="A2:H2"/>
    <mergeCell ref="A3:H3"/>
    <mergeCell ref="A4:H4"/>
    <mergeCell ref="A6:A7"/>
    <mergeCell ref="B6:B7"/>
    <mergeCell ref="C6:C7"/>
    <mergeCell ref="D6:D7"/>
    <mergeCell ref="E6:H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2:H20"/>
  <sheetViews>
    <sheetView workbookViewId="0" topLeftCell="A1">
      <selection activeCell="F27" sqref="F27"/>
    </sheetView>
  </sheetViews>
  <sheetFormatPr defaultColWidth="9.140625" defaultRowHeight="12.75"/>
  <cols>
    <col min="1" max="1" width="45.421875" style="0" customWidth="1"/>
  </cols>
  <sheetData>
    <row r="2" spans="1:8" ht="12.75">
      <c r="A2" s="168" t="s">
        <v>15</v>
      </c>
      <c r="B2" s="168"/>
      <c r="C2" s="168"/>
      <c r="D2" s="168"/>
      <c r="E2" s="168"/>
      <c r="F2" s="168"/>
      <c r="G2" s="168"/>
      <c r="H2" s="168"/>
    </row>
    <row r="3" spans="1:8" ht="12.75">
      <c r="A3" s="169" t="s">
        <v>21</v>
      </c>
      <c r="B3" s="168"/>
      <c r="C3" s="168"/>
      <c r="D3" s="168"/>
      <c r="E3" s="168"/>
      <c r="F3" s="168"/>
      <c r="G3" s="168"/>
      <c r="H3" s="168"/>
    </row>
    <row r="4" spans="1:8" ht="12.75">
      <c r="A4" s="168" t="s">
        <v>17</v>
      </c>
      <c r="B4" s="168"/>
      <c r="C4" s="168"/>
      <c r="D4" s="168"/>
      <c r="E4" s="168"/>
      <c r="F4" s="168"/>
      <c r="G4" s="168"/>
      <c r="H4" s="168"/>
    </row>
    <row r="5" ht="13.5" thickBot="1"/>
    <row r="6" spans="1:8" ht="12.75">
      <c r="A6" s="177" t="s">
        <v>0</v>
      </c>
      <c r="B6" s="179" t="s">
        <v>1</v>
      </c>
      <c r="C6" s="179" t="s">
        <v>2</v>
      </c>
      <c r="D6" s="181" t="s">
        <v>3</v>
      </c>
      <c r="E6" s="179" t="s">
        <v>4</v>
      </c>
      <c r="F6" s="179"/>
      <c r="G6" s="179"/>
      <c r="H6" s="183"/>
    </row>
    <row r="7" spans="1:8" ht="13.5" thickBot="1">
      <c r="A7" s="178"/>
      <c r="B7" s="180"/>
      <c r="C7" s="180"/>
      <c r="D7" s="182"/>
      <c r="E7" s="43" t="s">
        <v>5</v>
      </c>
      <c r="F7" s="43" t="s">
        <v>6</v>
      </c>
      <c r="G7" s="43" t="s">
        <v>7</v>
      </c>
      <c r="H7" s="44" t="s">
        <v>8</v>
      </c>
    </row>
    <row r="8" spans="1:8" ht="12.75">
      <c r="A8" s="52" t="s">
        <v>60</v>
      </c>
      <c r="B8" s="53" t="s">
        <v>61</v>
      </c>
      <c r="C8" s="53">
        <v>200</v>
      </c>
      <c r="D8" s="53">
        <f>C8*290</f>
        <v>58000</v>
      </c>
      <c r="E8" s="53"/>
      <c r="F8" s="53"/>
      <c r="G8" s="53">
        <v>58000</v>
      </c>
      <c r="H8" s="54"/>
    </row>
    <row r="9" spans="1:8" ht="12.75">
      <c r="A9" s="18" t="s">
        <v>93</v>
      </c>
      <c r="B9" s="3" t="s">
        <v>72</v>
      </c>
      <c r="C9" s="3">
        <v>12</v>
      </c>
      <c r="D9" s="3">
        <f>C9*1200</f>
        <v>14400</v>
      </c>
      <c r="E9" s="3"/>
      <c r="F9" s="3">
        <v>14400</v>
      </c>
      <c r="G9" s="3"/>
      <c r="H9" s="19"/>
    </row>
    <row r="10" spans="1:8" ht="12.75">
      <c r="A10" s="18" t="s">
        <v>96</v>
      </c>
      <c r="B10" s="3" t="s">
        <v>61</v>
      </c>
      <c r="C10" s="3">
        <v>50</v>
      </c>
      <c r="D10" s="3">
        <v>17000</v>
      </c>
      <c r="E10" s="3">
        <v>17000</v>
      </c>
      <c r="F10" s="3"/>
      <c r="G10" s="3"/>
      <c r="H10" s="19"/>
    </row>
    <row r="11" spans="1:8" ht="12.75">
      <c r="A11" s="18" t="s">
        <v>94</v>
      </c>
      <c r="B11" s="3" t="s">
        <v>61</v>
      </c>
      <c r="C11" s="3">
        <v>40</v>
      </c>
      <c r="D11" s="3">
        <f>C11*510</f>
        <v>20400</v>
      </c>
      <c r="E11" s="3">
        <v>20400</v>
      </c>
      <c r="F11" s="3"/>
      <c r="G11" s="3"/>
      <c r="H11" s="19"/>
    </row>
    <row r="12" spans="1:8" ht="26.25" thickBot="1">
      <c r="A12" s="55" t="s">
        <v>86</v>
      </c>
      <c r="B12" s="56" t="s">
        <v>63</v>
      </c>
      <c r="C12" s="56">
        <f>5*9</f>
        <v>45</v>
      </c>
      <c r="D12" s="56">
        <f>151118.8+10172.54</f>
        <v>161291.34</v>
      </c>
      <c r="E12" s="56"/>
      <c r="F12" s="56">
        <f>D12/3</f>
        <v>53763.78</v>
      </c>
      <c r="G12" s="56">
        <v>53763.78</v>
      </c>
      <c r="H12" s="57">
        <v>53763.78</v>
      </c>
    </row>
    <row r="13" spans="1:8" s="17" customFormat="1" ht="14.25" thickBot="1">
      <c r="A13" s="36" t="s">
        <v>9</v>
      </c>
      <c r="B13" s="37"/>
      <c r="C13" s="37"/>
      <c r="D13" s="37">
        <f>SUM(D8:D12)</f>
        <v>271091.33999999997</v>
      </c>
      <c r="E13" s="37">
        <f>SUM(E8:E12)</f>
        <v>37400</v>
      </c>
      <c r="F13" s="37">
        <f>SUM(F8:F12)</f>
        <v>68163.78</v>
      </c>
      <c r="G13" s="37">
        <f>SUM(G8:G12)</f>
        <v>111763.78</v>
      </c>
      <c r="H13" s="39">
        <f>SUM(H8:H12)</f>
        <v>53763.78</v>
      </c>
    </row>
    <row r="14" spans="1:8" ht="13.5" thickBot="1">
      <c r="A14" s="41" t="s">
        <v>11</v>
      </c>
      <c r="B14" s="40"/>
      <c r="C14" s="40"/>
      <c r="D14" s="40">
        <v>67772.83</v>
      </c>
      <c r="E14" s="40">
        <f>D14/4</f>
        <v>16943.2075</v>
      </c>
      <c r="F14" s="40">
        <v>16943.21</v>
      </c>
      <c r="G14" s="40">
        <v>16943.21</v>
      </c>
      <c r="H14" s="42">
        <v>16943.21</v>
      </c>
    </row>
    <row r="15" spans="1:8" s="17" customFormat="1" ht="14.25" thickBot="1">
      <c r="A15" s="36" t="s">
        <v>10</v>
      </c>
      <c r="B15" s="37"/>
      <c r="C15" s="37"/>
      <c r="D15" s="37">
        <f>SUM(D13:D14)</f>
        <v>338864.17</v>
      </c>
      <c r="E15" s="37">
        <f>SUM(E13:E14)</f>
        <v>54343.207500000004</v>
      </c>
      <c r="F15" s="37">
        <f>SUM(F13:F14)</f>
        <v>85106.98999999999</v>
      </c>
      <c r="G15" s="37">
        <f>SUM(G13:G14)</f>
        <v>128706.98999999999</v>
      </c>
      <c r="H15" s="39">
        <f>SUM(H13:H14)</f>
        <v>70706.98999999999</v>
      </c>
    </row>
    <row r="18" spans="1:3" ht="12.75">
      <c r="A18" t="s">
        <v>12</v>
      </c>
      <c r="C18" t="s">
        <v>13</v>
      </c>
    </row>
    <row r="20" ht="12.75">
      <c r="A20" t="s">
        <v>14</v>
      </c>
    </row>
  </sheetData>
  <mergeCells count="8">
    <mergeCell ref="A2:H2"/>
    <mergeCell ref="A3:H3"/>
    <mergeCell ref="A4:H4"/>
    <mergeCell ref="A6:A7"/>
    <mergeCell ref="B6:B7"/>
    <mergeCell ref="C6:C7"/>
    <mergeCell ref="D6:D7"/>
    <mergeCell ref="E6:H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2:H21"/>
  <sheetViews>
    <sheetView workbookViewId="0" topLeftCell="A1">
      <selection activeCell="B25" sqref="B25"/>
    </sheetView>
  </sheetViews>
  <sheetFormatPr defaultColWidth="9.140625" defaultRowHeight="12.75"/>
  <cols>
    <col min="1" max="1" width="45.57421875" style="0" customWidth="1"/>
  </cols>
  <sheetData>
    <row r="2" spans="1:8" ht="12.75">
      <c r="A2" s="168" t="s">
        <v>15</v>
      </c>
      <c r="B2" s="168"/>
      <c r="C2" s="168"/>
      <c r="D2" s="168"/>
      <c r="E2" s="168"/>
      <c r="F2" s="168"/>
      <c r="G2" s="168"/>
      <c r="H2" s="168"/>
    </row>
    <row r="3" spans="1:8" ht="12.75">
      <c r="A3" s="169" t="s">
        <v>20</v>
      </c>
      <c r="B3" s="168"/>
      <c r="C3" s="168"/>
      <c r="D3" s="168"/>
      <c r="E3" s="168"/>
      <c r="F3" s="168"/>
      <c r="G3" s="168"/>
      <c r="H3" s="168"/>
    </row>
    <row r="4" spans="1:8" ht="12.75">
      <c r="A4" s="168" t="s">
        <v>17</v>
      </c>
      <c r="B4" s="168"/>
      <c r="C4" s="168"/>
      <c r="D4" s="168"/>
      <c r="E4" s="168"/>
      <c r="F4" s="168"/>
      <c r="G4" s="168"/>
      <c r="H4" s="168"/>
    </row>
    <row r="5" ht="13.5" thickBot="1"/>
    <row r="6" spans="1:8" ht="12.75">
      <c r="A6" s="177" t="s">
        <v>0</v>
      </c>
      <c r="B6" s="179" t="s">
        <v>1</v>
      </c>
      <c r="C6" s="179" t="s">
        <v>2</v>
      </c>
      <c r="D6" s="181" t="s">
        <v>3</v>
      </c>
      <c r="E6" s="179" t="s">
        <v>4</v>
      </c>
      <c r="F6" s="179"/>
      <c r="G6" s="179"/>
      <c r="H6" s="183"/>
    </row>
    <row r="7" spans="1:8" ht="13.5" thickBot="1">
      <c r="A7" s="178"/>
      <c r="B7" s="180"/>
      <c r="C7" s="180"/>
      <c r="D7" s="182"/>
      <c r="E7" s="43" t="s">
        <v>5</v>
      </c>
      <c r="F7" s="43" t="s">
        <v>6</v>
      </c>
      <c r="G7" s="43" t="s">
        <v>7</v>
      </c>
      <c r="H7" s="44" t="s">
        <v>8</v>
      </c>
    </row>
    <row r="8" spans="1:8" ht="12.75">
      <c r="A8" s="23" t="s">
        <v>60</v>
      </c>
      <c r="B8" s="24" t="s">
        <v>87</v>
      </c>
      <c r="C8" s="24">
        <v>400</v>
      </c>
      <c r="D8" s="24">
        <f>C8*290</f>
        <v>116000</v>
      </c>
      <c r="E8" s="24"/>
      <c r="F8" s="24">
        <v>58000</v>
      </c>
      <c r="G8" s="24">
        <v>58000</v>
      </c>
      <c r="H8" s="25"/>
    </row>
    <row r="9" spans="1:8" ht="12.75">
      <c r="A9" s="18" t="s">
        <v>88</v>
      </c>
      <c r="B9" s="3" t="s">
        <v>63</v>
      </c>
      <c r="C9" s="3">
        <v>3</v>
      </c>
      <c r="D9" s="3">
        <f>C9*11000</f>
        <v>33000</v>
      </c>
      <c r="E9" s="3"/>
      <c r="F9" s="3"/>
      <c r="G9" s="3"/>
      <c r="H9" s="19">
        <v>33000</v>
      </c>
    </row>
    <row r="10" spans="1:8" ht="12.75">
      <c r="A10" s="65" t="s">
        <v>97</v>
      </c>
      <c r="B10" s="56" t="s">
        <v>72</v>
      </c>
      <c r="C10" s="56">
        <v>18</v>
      </c>
      <c r="D10" s="56">
        <f>C10*850</f>
        <v>15300</v>
      </c>
      <c r="E10" s="56">
        <v>15300</v>
      </c>
      <c r="F10" s="56"/>
      <c r="G10" s="56"/>
      <c r="H10" s="57"/>
    </row>
    <row r="11" spans="1:8" ht="12.75">
      <c r="A11" s="68" t="s">
        <v>113</v>
      </c>
      <c r="B11" s="56" t="s">
        <v>72</v>
      </c>
      <c r="C11" s="56">
        <v>80</v>
      </c>
      <c r="D11" s="56">
        <v>12000</v>
      </c>
      <c r="E11" s="56"/>
      <c r="F11" s="56"/>
      <c r="G11" s="56"/>
      <c r="H11" s="57">
        <v>12000</v>
      </c>
    </row>
    <row r="12" spans="1:8" ht="12.75">
      <c r="A12" s="69" t="s">
        <v>98</v>
      </c>
      <c r="B12" s="56" t="s">
        <v>72</v>
      </c>
      <c r="C12" s="56">
        <v>100</v>
      </c>
      <c r="D12" s="56">
        <v>30587.23</v>
      </c>
      <c r="E12" s="56"/>
      <c r="F12" s="56"/>
      <c r="G12" s="56">
        <v>30587.23</v>
      </c>
      <c r="H12" s="57"/>
    </row>
    <row r="13" spans="1:8" ht="13.5" thickBot="1">
      <c r="A13" s="26" t="s">
        <v>89</v>
      </c>
      <c r="B13" s="27" t="s">
        <v>72</v>
      </c>
      <c r="C13" s="27">
        <v>40</v>
      </c>
      <c r="D13" s="27">
        <f>C13*1200</f>
        <v>48000</v>
      </c>
      <c r="E13" s="27"/>
      <c r="F13" s="27">
        <f>D13/2</f>
        <v>24000</v>
      </c>
      <c r="G13" s="27">
        <v>24000</v>
      </c>
      <c r="H13" s="28"/>
    </row>
    <row r="14" spans="1:8" s="17" customFormat="1" ht="14.25" thickBot="1">
      <c r="A14" s="36" t="s">
        <v>9</v>
      </c>
      <c r="B14" s="37"/>
      <c r="C14" s="37"/>
      <c r="D14" s="37">
        <f>SUM(D8:D13)</f>
        <v>254887.23</v>
      </c>
      <c r="E14" s="37">
        <f>SUM(E8:E13)</f>
        <v>15300</v>
      </c>
      <c r="F14" s="37">
        <f>SUM(F8:F13)</f>
        <v>82000</v>
      </c>
      <c r="G14" s="37">
        <f>SUM(G8:G13)</f>
        <v>112587.23</v>
      </c>
      <c r="H14" s="39">
        <f>SUM(H8:H13)</f>
        <v>45000</v>
      </c>
    </row>
    <row r="15" spans="1:8" s="17" customFormat="1" ht="14.25" thickBot="1">
      <c r="A15" s="146" t="s">
        <v>11</v>
      </c>
      <c r="B15" s="80" t="s">
        <v>59</v>
      </c>
      <c r="C15" s="80">
        <v>20</v>
      </c>
      <c r="D15" s="80">
        <v>63721.81</v>
      </c>
      <c r="E15" s="80">
        <f>D15/4</f>
        <v>15930.4525</v>
      </c>
      <c r="F15" s="80">
        <v>15930.45</v>
      </c>
      <c r="G15" s="80">
        <v>15930.45</v>
      </c>
      <c r="H15" s="147">
        <v>15930.45</v>
      </c>
    </row>
    <row r="16" spans="1:8" s="17" customFormat="1" ht="14.25" thickBot="1">
      <c r="A16" s="36" t="s">
        <v>10</v>
      </c>
      <c r="B16" s="37"/>
      <c r="C16" s="37"/>
      <c r="D16" s="37">
        <f>SUM(D14:D15)</f>
        <v>318609.04000000004</v>
      </c>
      <c r="E16" s="37">
        <f>SUM(E14:E15)</f>
        <v>31230.4525</v>
      </c>
      <c r="F16" s="37">
        <f>SUM(F14:F15)</f>
        <v>97930.45</v>
      </c>
      <c r="G16" s="37">
        <f>SUM(G14:G15)</f>
        <v>128517.68</v>
      </c>
      <c r="H16" s="39">
        <f>SUM(H14:H15)</f>
        <v>60930.45</v>
      </c>
    </row>
    <row r="19" spans="1:3" ht="12.75">
      <c r="A19" t="s">
        <v>12</v>
      </c>
      <c r="C19" t="s">
        <v>13</v>
      </c>
    </row>
    <row r="21" ht="12.75">
      <c r="A21" t="s">
        <v>14</v>
      </c>
    </row>
  </sheetData>
  <mergeCells count="8">
    <mergeCell ref="A2:H2"/>
    <mergeCell ref="A3:H3"/>
    <mergeCell ref="A4:H4"/>
    <mergeCell ref="A6:A7"/>
    <mergeCell ref="B6:B7"/>
    <mergeCell ref="C6:C7"/>
    <mergeCell ref="D6:D7"/>
    <mergeCell ref="E6:H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2:I20"/>
  <sheetViews>
    <sheetView workbookViewId="0" topLeftCell="A1">
      <selection activeCell="A13" sqref="A13:IV13"/>
    </sheetView>
  </sheetViews>
  <sheetFormatPr defaultColWidth="9.140625" defaultRowHeight="12.75"/>
  <cols>
    <col min="1" max="1" width="42.57421875" style="0" customWidth="1"/>
  </cols>
  <sheetData>
    <row r="2" spans="1:8" ht="12.75">
      <c r="A2" s="168" t="s">
        <v>15</v>
      </c>
      <c r="B2" s="168"/>
      <c r="C2" s="168"/>
      <c r="D2" s="168"/>
      <c r="E2" s="168"/>
      <c r="F2" s="168"/>
      <c r="G2" s="168"/>
      <c r="H2" s="168"/>
    </row>
    <row r="3" spans="1:8" ht="12.75">
      <c r="A3" s="169" t="s">
        <v>24</v>
      </c>
      <c r="B3" s="168"/>
      <c r="C3" s="168"/>
      <c r="D3" s="168"/>
      <c r="E3" s="168"/>
      <c r="F3" s="168"/>
      <c r="G3" s="168"/>
      <c r="H3" s="168"/>
    </row>
    <row r="4" spans="1:8" ht="12.75">
      <c r="A4" s="168" t="s">
        <v>17</v>
      </c>
      <c r="B4" s="168"/>
      <c r="C4" s="168"/>
      <c r="D4" s="168"/>
      <c r="E4" s="168"/>
      <c r="F4" s="168"/>
      <c r="G4" s="168"/>
      <c r="H4" s="168"/>
    </row>
    <row r="5" ht="13.5" thickBot="1"/>
    <row r="6" spans="1:8" ht="12.75">
      <c r="A6" s="177" t="s">
        <v>0</v>
      </c>
      <c r="B6" s="179" t="s">
        <v>1</v>
      </c>
      <c r="C6" s="179" t="s">
        <v>2</v>
      </c>
      <c r="D6" s="181" t="s">
        <v>3</v>
      </c>
      <c r="E6" s="179" t="s">
        <v>4</v>
      </c>
      <c r="F6" s="179"/>
      <c r="G6" s="179"/>
      <c r="H6" s="183"/>
    </row>
    <row r="7" spans="1:8" ht="13.5" thickBot="1">
      <c r="A7" s="178"/>
      <c r="B7" s="180"/>
      <c r="C7" s="180"/>
      <c r="D7" s="182"/>
      <c r="E7" s="43" t="s">
        <v>5</v>
      </c>
      <c r="F7" s="43" t="s">
        <v>6</v>
      </c>
      <c r="G7" s="43" t="s">
        <v>7</v>
      </c>
      <c r="H7" s="44" t="s">
        <v>8</v>
      </c>
    </row>
    <row r="8" spans="1:8" ht="12.75">
      <c r="A8" s="23" t="s">
        <v>71</v>
      </c>
      <c r="B8" s="24" t="s">
        <v>61</v>
      </c>
      <c r="C8" s="24">
        <v>40</v>
      </c>
      <c r="D8" s="24">
        <f>C8*650</f>
        <v>26000</v>
      </c>
      <c r="E8" s="24">
        <v>26000</v>
      </c>
      <c r="F8" s="24"/>
      <c r="G8" s="24"/>
      <c r="H8" s="25"/>
    </row>
    <row r="9" spans="1:8" ht="12.75">
      <c r="A9" s="18" t="s">
        <v>64</v>
      </c>
      <c r="B9" s="3"/>
      <c r="C9" s="3"/>
      <c r="D9" s="3"/>
      <c r="E9" s="3"/>
      <c r="F9" s="3"/>
      <c r="G9" s="3"/>
      <c r="H9" s="19"/>
    </row>
    <row r="10" spans="1:8" ht="12.75">
      <c r="A10" s="18" t="s">
        <v>95</v>
      </c>
      <c r="B10" s="3" t="s">
        <v>63</v>
      </c>
      <c r="C10" s="3">
        <v>60</v>
      </c>
      <c r="D10" s="3">
        <f>C10*750</f>
        <v>45000</v>
      </c>
      <c r="E10" s="3"/>
      <c r="F10" s="3">
        <f>45000/2</f>
        <v>22500</v>
      </c>
      <c r="G10" s="3">
        <v>22500</v>
      </c>
      <c r="H10" s="19"/>
    </row>
    <row r="11" spans="1:8" ht="12.75">
      <c r="A11" s="18" t="s">
        <v>60</v>
      </c>
      <c r="B11" s="3" t="s">
        <v>61</v>
      </c>
      <c r="C11" s="3">
        <v>250</v>
      </c>
      <c r="D11" s="3">
        <f>C11*290</f>
        <v>72500</v>
      </c>
      <c r="E11" s="3"/>
      <c r="F11" s="3">
        <f>D11/2</f>
        <v>36250</v>
      </c>
      <c r="G11" s="3">
        <v>36250</v>
      </c>
      <c r="H11" s="19"/>
    </row>
    <row r="12" spans="1:8" ht="13.5" thickBot="1">
      <c r="A12" s="26" t="s">
        <v>114</v>
      </c>
      <c r="B12" s="27" t="s">
        <v>72</v>
      </c>
      <c r="C12" s="27">
        <v>100</v>
      </c>
      <c r="D12" s="27">
        <v>30776.68</v>
      </c>
      <c r="E12" s="27"/>
      <c r="F12" s="27"/>
      <c r="G12" s="27">
        <v>30776.68</v>
      </c>
      <c r="H12" s="28"/>
    </row>
    <row r="13" spans="1:8" ht="13.5" thickBot="1">
      <c r="A13" s="29" t="s">
        <v>9</v>
      </c>
      <c r="B13" s="30"/>
      <c r="C13" s="30"/>
      <c r="D13" s="30">
        <f>SUM(D8:D12)</f>
        <v>174276.68</v>
      </c>
      <c r="E13" s="30">
        <f>SUM(E8:E12)</f>
        <v>26000</v>
      </c>
      <c r="F13" s="30">
        <f>SUM(F8:F12)</f>
        <v>58750</v>
      </c>
      <c r="G13" s="30">
        <f>SUM(G8:G12)</f>
        <v>89526.68</v>
      </c>
      <c r="H13" s="31"/>
    </row>
    <row r="14" spans="1:8" ht="13.5" thickBot="1">
      <c r="A14" s="29" t="s">
        <v>11</v>
      </c>
      <c r="B14" s="30"/>
      <c r="C14" s="30"/>
      <c r="D14" s="30">
        <v>43569.17</v>
      </c>
      <c r="E14" s="30">
        <f>D14/4</f>
        <v>10892.2925</v>
      </c>
      <c r="F14" s="30">
        <v>10892.29</v>
      </c>
      <c r="G14" s="30">
        <v>10892.29</v>
      </c>
      <c r="H14" s="31">
        <v>10892.29</v>
      </c>
    </row>
    <row r="15" spans="1:9" ht="13.5" thickBot="1">
      <c r="A15" s="29" t="s">
        <v>10</v>
      </c>
      <c r="B15" s="30"/>
      <c r="C15" s="30"/>
      <c r="D15" s="30">
        <f>SUM(D13:D14)</f>
        <v>217845.84999999998</v>
      </c>
      <c r="E15" s="30">
        <f>SUM(E13:E14)</f>
        <v>36892.292499999996</v>
      </c>
      <c r="F15" s="30">
        <f>SUM(F13:F14)</f>
        <v>69642.29000000001</v>
      </c>
      <c r="G15" s="30">
        <f>SUM(G13:G14)</f>
        <v>100418.97</v>
      </c>
      <c r="H15" s="31">
        <f>SUM(H13:H14)</f>
        <v>10892.29</v>
      </c>
      <c r="I15" s="46"/>
    </row>
    <row r="18" spans="1:3" ht="12.75">
      <c r="A18" t="s">
        <v>12</v>
      </c>
      <c r="C18" t="s">
        <v>13</v>
      </c>
    </row>
    <row r="20" ht="12.75">
      <c r="A20" t="s">
        <v>14</v>
      </c>
    </row>
  </sheetData>
  <mergeCells count="8">
    <mergeCell ref="A2:H2"/>
    <mergeCell ref="A3:H3"/>
    <mergeCell ref="A4:H4"/>
    <mergeCell ref="A6:A7"/>
    <mergeCell ref="B6:B7"/>
    <mergeCell ref="C6:C7"/>
    <mergeCell ref="D6:D7"/>
    <mergeCell ref="E6:H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2010-12-20T08:29:20Z</cp:lastPrinted>
  <dcterms:created xsi:type="dcterms:W3CDTF">1996-10-08T23:32:33Z</dcterms:created>
  <dcterms:modified xsi:type="dcterms:W3CDTF">2010-12-20T08:30:02Z</dcterms:modified>
  <cp:category/>
  <cp:version/>
  <cp:contentType/>
  <cp:contentStatus/>
</cp:coreProperties>
</file>