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асходы" sheetId="1" r:id="rId1"/>
    <sheet name="расходы 2012" sheetId="2" r:id="rId2"/>
    <sheet name="РАСХОДЫ 2013" sheetId="3" r:id="rId3"/>
    <sheet name="коммунальные услуги" sheetId="4" r:id="rId4"/>
  </sheets>
  <definedNames>
    <definedName name="_xlnm.Print_Area" localSheetId="0">'расходы'!$A$1:$I$145</definedName>
    <definedName name="_xlnm.Print_Area" localSheetId="1">'расходы 2012'!$A$1:$I$34</definedName>
    <definedName name="_xlnm.Print_Area" localSheetId="2">'РАСХОДЫ 2013'!$A$1:$I$15</definedName>
  </definedNames>
  <calcPr fullCalcOnLoad="1" refMode="R1C1"/>
</workbook>
</file>

<file path=xl/comments1.xml><?xml version="1.0" encoding="utf-8"?>
<comments xmlns="http://schemas.openxmlformats.org/spreadsheetml/2006/main">
  <authors>
    <author>диана</author>
    <author>*</author>
  </authors>
  <commentList>
    <comment ref="B50" authorId="0">
      <text>
        <r>
          <rPr>
            <b/>
            <sz val="8"/>
            <rFont val="Tahoma"/>
            <family val="0"/>
          </rPr>
          <t>диана:</t>
        </r>
        <r>
          <rPr>
            <sz val="8"/>
            <rFont val="Tahoma"/>
            <family val="0"/>
          </rPr>
          <t xml:space="preserve">
Цубрович 
9200
</t>
        </r>
      </text>
    </comment>
    <comment ref="B52" authorId="0">
      <text>
        <r>
          <rPr>
            <b/>
            <sz val="8"/>
            <rFont val="Tahoma"/>
            <family val="0"/>
          </rPr>
          <t>диана:</t>
        </r>
        <r>
          <rPr>
            <sz val="8"/>
            <rFont val="Tahoma"/>
            <family val="0"/>
          </rPr>
          <t xml:space="preserve">
Петрова
24072,37
</t>
        </r>
      </text>
    </comment>
    <comment ref="B51" authorId="1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лядункина
</t>
        </r>
      </text>
    </comment>
    <comment ref="B54" authorId="1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Субботин 49824.15
Окунев 194353.87
Михеев 5750
Запасной 118162.5
Голубь 33118.36
</t>
        </r>
      </text>
    </comment>
  </commentList>
</comments>
</file>

<file path=xl/sharedStrings.xml><?xml version="1.0" encoding="utf-8"?>
<sst xmlns="http://schemas.openxmlformats.org/spreadsheetml/2006/main" count="243" uniqueCount="172">
  <si>
    <t>№ п/п</t>
  </si>
  <si>
    <t xml:space="preserve">содержание расходов </t>
  </si>
  <si>
    <t xml:space="preserve">произведена оплата </t>
  </si>
  <si>
    <t>остаток</t>
  </si>
  <si>
    <t>за счет целевых взносов на завершение строительства дома</t>
  </si>
  <si>
    <t>запланировано по договорам</t>
  </si>
  <si>
    <t xml:space="preserve">всего поступило средств на счет </t>
  </si>
  <si>
    <t xml:space="preserve">за счет вступительных взносов </t>
  </si>
  <si>
    <t xml:space="preserve">за счет ежемесячных членских взносов </t>
  </si>
  <si>
    <t xml:space="preserve">Расходы на регистрацию ТСЖ </t>
  </si>
  <si>
    <t>ООО Технические средства безопасности, монтаж системы видеонаблюдения</t>
  </si>
  <si>
    <t>Фонарь, водосчетчик, вызов инспектора и опломбирование узла учета</t>
  </si>
  <si>
    <t>почтовые расходы</t>
  </si>
  <si>
    <t>отчисления в фонд социального страхования, пенсионный и ОМС</t>
  </si>
  <si>
    <t>ЗАО Связной, телефон на объект</t>
  </si>
  <si>
    <t>ООО Домоцентр, приобретение фильтра питания</t>
  </si>
  <si>
    <t>ООО "Томская лифтовая компания", установка лифтов</t>
  </si>
  <si>
    <t>Росрегистрация,  государственная пошлина</t>
  </si>
  <si>
    <t>доверенность и копии (нотариус)</t>
  </si>
  <si>
    <t>крупноформатное копирование тех. паспорта</t>
  </si>
  <si>
    <t>ООО "Стройгарант" (электромонтажные работы)</t>
  </si>
  <si>
    <t>ООО "Стройгарант" (монтаж внутренних систем отопления, водоснабжения, канализации, ливневой канализации, вентиляции)</t>
  </si>
  <si>
    <t>оплата охраны непосредственно на объекте ( с учетом НДФЛ)</t>
  </si>
  <si>
    <t>начисления з/пл председателя, бухгалтера, прораба (с учетом НДФЛ)</t>
  </si>
  <si>
    <t>Банковские услуги при организации работы ТСЖ: оформление карточки образцов подписей, комиссия за оформление договора Клиент-банк, за оформление договора на открытие расчетного счета; комиссия за открытие счета юр.лица;за прием наличных</t>
  </si>
  <si>
    <t>Билайн услуги сотовой связи на объекте</t>
  </si>
  <si>
    <t xml:space="preserve">Строй-Парк: материалы для окраски </t>
  </si>
  <si>
    <t>Работы по договорам подряда (разнорабочие) со страховыми взносами ПФР, ОМС</t>
  </si>
  <si>
    <t>ИП Ламинский (снос тополей)</t>
  </si>
  <si>
    <t>Строй парк, материалы, необходимые при строительстве (лампы, патроны)</t>
  </si>
  <si>
    <t>Банковские услуги:установка Клиент-банка; ежемесячная комиссия за обслуживание Клиент-банка, за ведение счета; комиссия за перечисление платежей</t>
  </si>
  <si>
    <t>ТЦЦС (проверка правильности сметной документации)</t>
  </si>
  <si>
    <t>Сигнальная лента для ограждения</t>
  </si>
  <si>
    <t>метлы</t>
  </si>
  <si>
    <t>почтовый ящик, замок</t>
  </si>
  <si>
    <t>Приобретение прожекторных ламп, дизельного топлива</t>
  </si>
  <si>
    <t>ООО Автострой-К (доставка песка, ГПС)</t>
  </si>
  <si>
    <t>ООО "ЧОП "Ирбис" (тревожная кнопка)</t>
  </si>
  <si>
    <t>Работы по договорам подряда (расширение лифтового проема) со страховыми взносами ПФР, ОМС</t>
  </si>
  <si>
    <t>ИП Толстов С.И. (шпатлевка)</t>
  </si>
  <si>
    <t>Работы по договорам подряда (подготовка пакета документов для ввода объекта,) со страховыми взносами ПФР, ОМС</t>
  </si>
  <si>
    <t>Работы по договорам подряда (окраска потолка во втроенных гаражах-стоянках,) со страховыми взносами ПФР, ОМС</t>
  </si>
  <si>
    <t xml:space="preserve">Строй-Парк: расходные материалы </t>
  </si>
  <si>
    <t>ОГУП "ТОЦТИ" (проведение технической инвентаризации)</t>
  </si>
  <si>
    <t>ФБУЗ "Центр гигиены и эпидемиологии в ТО" (инструментальные исследования)</t>
  </si>
  <si>
    <t>ИП Джабиев Т.Н., штукатурно-малярные работы, отсыпка полов песком, ГПС, гравием, бетонирование</t>
  </si>
  <si>
    <t>ООО "Митра" (укладка плитки в подъезде)</t>
  </si>
  <si>
    <t>ООО "Базис-Т" (работы по монтажу наружных сетей энергоснабжения)</t>
  </si>
  <si>
    <t>ИП Лоцман А,М, (монтаж автоматической пожарной сигнализации, оповещения и пожаротушения)</t>
  </si>
  <si>
    <t>ИП Сидоров Е.В. (оштукатуривание стен, заливка полов цементной стяжкой)</t>
  </si>
  <si>
    <t>ООО "ТомВодСтрой", строительство наружных сетей канализации</t>
  </si>
  <si>
    <t>оплата за выкопировку здания</t>
  </si>
  <si>
    <t>ИП Барсуков Е.В. (уборка дома,вывоз мусора)</t>
  </si>
  <si>
    <t>Стройпарк (зубило, рукавицы, очки защитные и т.п)</t>
  </si>
  <si>
    <t>Стройпарк (лампа паяльная)</t>
  </si>
  <si>
    <t>ООО "Томскводоканал" (водоснабжение на стройке)</t>
  </si>
  <si>
    <t>Охрана объекта ЧОП Аргус-Томск</t>
  </si>
  <si>
    <t>ООО "Горсети", монтаж и наладка электроучета АСКУЭ включения</t>
  </si>
  <si>
    <t>ООО "Томскводоканал", устройство врезки</t>
  </si>
  <si>
    <t>ООО "Полимер", остекление межэтажных дверей</t>
  </si>
  <si>
    <t>поступило средств на счет из областного бюджета</t>
  </si>
  <si>
    <t>ООО "Стройгарант" (благоустройство)</t>
  </si>
  <si>
    <t>ООО "Горсети", мероприятия по технологическому подключению к электроснабжению</t>
  </si>
  <si>
    <t>ОГУП "ТОЦТИ", изготовление кадастровых паспортов</t>
  </si>
  <si>
    <t>ООО "Энергокомфорт Сибирь"  проверка схемы включения однофазного электросчетчика и опломбирование</t>
  </si>
  <si>
    <t>за счет целевых средств областной администрации</t>
  </si>
  <si>
    <t>УМП Городское архитектурно-планировочное бюро (исполнительная съемка подземного эл.кабеля)</t>
  </si>
  <si>
    <t>ООО Энергосервис (консультационные услуги по электробезопасности)</t>
  </si>
  <si>
    <t>ООО Энергосервис (предаттестационная подготовка по правилам ТБ и ТЭ тепловых энергоустановок)</t>
  </si>
  <si>
    <t>ООО "Томский инженерный центр", расчет теплопоступлений</t>
  </si>
  <si>
    <t>блок питания к видеонаблюдению</t>
  </si>
  <si>
    <t>за счет средств собственников гаражей</t>
  </si>
  <si>
    <t>ООО Спектр систем безопасности (установка дверей в подъезды, цоколь)</t>
  </si>
  <si>
    <t>ООО "Шефмонтаж", ворота секционные гаражные, пульты от ворот</t>
  </si>
  <si>
    <t>за счет средств собственников квартир</t>
  </si>
  <si>
    <t>ООО "Митра", ящики почтовые (231 шт + 5 шт для ТСЖ)</t>
  </si>
  <si>
    <t>ООО "Парадный вход", противопожарные, входные межквартирные, подъездные двери и их установка</t>
  </si>
  <si>
    <t>ИП Лоцман А,М, (разработка декларации по пожарной безопасности)</t>
  </si>
  <si>
    <t>НОПУ "Межрегиональный учебный центр" (повышение квалификации по нормам и правилам электроустановок)</t>
  </si>
  <si>
    <t>УМП Городское архитектурно-планировочное бюро (составление справки-заключения о соответствии разрешительным документам)</t>
  </si>
  <si>
    <t>ИП Гусарова Е.А. (изготовление адресных табличек на дом, подъезды)</t>
  </si>
  <si>
    <t>ИП Гусарова Е.А. (изготовление досок для объявлений в  подъезды)</t>
  </si>
  <si>
    <t>ООО Спектр систем безопасности (установка домофонов 5шт., трубок 231шт., магнитые ключи 462 шт. + 8 шт. для обслуживающего персонала, программирование ключей)</t>
  </si>
  <si>
    <t>ООО "Митра", водосчетчики (550 шт)+работа по их установке</t>
  </si>
  <si>
    <t>ООО "Энергосервис" (составление технического отчета по результатам энергетическго обследования)</t>
  </si>
  <si>
    <t xml:space="preserve">ООО "СК "СПС-Оптим" (устройство плитки бетонной в подъездах, монтаж обрамлений входа в подвал, навеска водосточных труб, устройство защитного уголкавентиляционных шахт) </t>
  </si>
  <si>
    <t xml:space="preserve">ООО "СК "СПС-Оптим" (устройство парапетов на крыльца из крашеного оцинкованного листа) </t>
  </si>
  <si>
    <t>ООО "СК "СПС-Оптим" ( устройство крыльца и приямков)</t>
  </si>
  <si>
    <t>ООО "СК "СПС-Оптим" (устройство парапетов и обрамлений, кровельного покрытия здания)</t>
  </si>
  <si>
    <t>ООО "СК "СПС-Оптим" (устройство бетонного ленточного фундамента и кирпичных перегородок в подвале)</t>
  </si>
  <si>
    <t>ООО "СК "СПС-Оптим" (устройство мягкой кровли)</t>
  </si>
  <si>
    <t>ООО "МИГ", демонтаж железобетонного забора с восточной стороны здания, вывоз строительного мусора и предварительная вертикальная планировка территории с северной и восточной стороны здания (май 2011г).</t>
  </si>
  <si>
    <t>оплата за работу прораба (со всеми отчислениями во внебюджетные фонды)</t>
  </si>
  <si>
    <t>ИТОГО выполнено по договорам</t>
  </si>
  <si>
    <t>Итого оформлено документов:</t>
  </si>
  <si>
    <t>АНО ИКЦ "Котлонадзор" (освидетельствование лифтов)</t>
  </si>
  <si>
    <t>СФТИ ТГУ (установка оборудования эфирного телевидения)</t>
  </si>
  <si>
    <t>ООО "ПРО автоматик"(отливы на крыше, слуховые окна на чердаке)</t>
  </si>
  <si>
    <t>ООО "СК "СПС-Оптим" (сварочные работы в машинных помещениях, приямках, отливы на крыльце 2, 4 под.)</t>
  </si>
  <si>
    <t>ООО "Стройгарант" (монтаж мертвых опор, пожарных гидрантов)</t>
  </si>
  <si>
    <t>ООО "Димакс строй" (остекление дома, оформление откосов в подъездах сэндвич-панелями и установка решеток, укрепление балконов, установка экранов на верандах, заливка технологических отверстий, заливка бетоном приямков лифтовых шахт, металлические решетки на технических этажах, ограждение веранд профилем, остекление веранд)</t>
  </si>
  <si>
    <t>УМП Землеустроитель (обоснование площади участка и кадастровые работы)</t>
  </si>
  <si>
    <t>ООО Жилстройсервис (разработка и согласование проекта)</t>
  </si>
  <si>
    <t>Почтовые расходы</t>
  </si>
  <si>
    <t>Лапин (обслуживание оргтехники)</t>
  </si>
  <si>
    <t>ООО Теплосервис (обслуживание теплоузла)</t>
  </si>
  <si>
    <t>начислено целевой взнос на завершение строительства</t>
  </si>
  <si>
    <t>начислено целевой взнос на завершение строительства (асфальтирование дороги)</t>
  </si>
  <si>
    <t>итого начислено</t>
  </si>
  <si>
    <t>ООО Митра (работы по устройству автостоянки)</t>
  </si>
  <si>
    <t>ООО "Теплопрофи" (пластины на теплоузел)</t>
  </si>
  <si>
    <t xml:space="preserve">начислено вступительный взнос </t>
  </si>
  <si>
    <t>ООО Митра (краска фасадная)</t>
  </si>
  <si>
    <t xml:space="preserve">Билайн услуги сотовой связи </t>
  </si>
  <si>
    <t>ООО Ремдортранс (устройство асфальтобетонного покрытия)</t>
  </si>
  <si>
    <t>выставлено по счетам</t>
  </si>
  <si>
    <t>начислено жильцам</t>
  </si>
  <si>
    <t>ДОМОФОН</t>
  </si>
  <si>
    <t>оплачено жильцами</t>
  </si>
  <si>
    <t xml:space="preserve">задолженность </t>
  </si>
  <si>
    <t>ЛИФТ</t>
  </si>
  <si>
    <t>АНТЕННА</t>
  </si>
  <si>
    <t>ВЫВОЗ ТБО</t>
  </si>
  <si>
    <t>оплачено ТСЖ</t>
  </si>
  <si>
    <t>ЭЛЕКТРОЭНЕРГИЯ</t>
  </si>
  <si>
    <t>ОТОПЛЕНИЕ И ГВС</t>
  </si>
  <si>
    <t>ВОДОСНАБЖЕНИЕ, ВОДООТВЕДЕНИЕ</t>
  </si>
  <si>
    <t>НЕ ПЕРЕДАЮТСЯ ПОКАЗАНИЯ В ПОЛНОМ ОБЪЕМЕ</t>
  </si>
  <si>
    <t>начислено в фонд содержания жилья</t>
  </si>
  <si>
    <t>начисления з/пл сотрудников ТСЖ (с учетом НДФЛ)</t>
  </si>
  <si>
    <t xml:space="preserve">Работы по договорам подряда (общестроительные работы) со страховыми взносами ПФР, ОМС </t>
  </si>
  <si>
    <t>2012 год</t>
  </si>
  <si>
    <t xml:space="preserve">начислено ежемесячный членский взнос </t>
  </si>
  <si>
    <t>ИП Ветров (вывоз снега)</t>
  </si>
  <si>
    <t>Канцтовары</t>
  </si>
  <si>
    <t>Расходные материалы по обслуживанию здания</t>
  </si>
  <si>
    <t>за счет взносов на содержание 2012</t>
  </si>
  <si>
    <t>Межрегиональный учебный центр (повышение квалификации по нормам и правилам электроустановок)</t>
  </si>
  <si>
    <t>Страховая премия за страховку лифтов</t>
  </si>
  <si>
    <t>нотариальные услуги</t>
  </si>
  <si>
    <t>изготовление дубликата ключей</t>
  </si>
  <si>
    <t>Присвоение адреса</t>
  </si>
  <si>
    <t>информация из Росреестра</t>
  </si>
  <si>
    <t>Дизтопливо (обогрев помещения при монтаже пожарной системы), бензин (доставка стройматериалов)</t>
  </si>
  <si>
    <t>Стройматериалы (цемент)</t>
  </si>
  <si>
    <t xml:space="preserve">Домовая книга </t>
  </si>
  <si>
    <t>Принтер</t>
  </si>
  <si>
    <t>Хоз инвентарь (лопаты)</t>
  </si>
  <si>
    <t>Стремянки</t>
  </si>
  <si>
    <t>Аппарат сварочный</t>
  </si>
  <si>
    <t xml:space="preserve">манометр </t>
  </si>
  <si>
    <t>опрессовщик</t>
  </si>
  <si>
    <t>рубанок</t>
  </si>
  <si>
    <t>комбинезон</t>
  </si>
  <si>
    <t>перфоратор</t>
  </si>
  <si>
    <t>пирометр</t>
  </si>
  <si>
    <t>Отчисления во внебюджетные фонды 2011</t>
  </si>
  <si>
    <t>Отчисления во внебюджетные фонды 2012</t>
  </si>
  <si>
    <t>Отчисления во внебюджетные фонды с работы прораба</t>
  </si>
  <si>
    <t>Расходные материалы для строительства (краски, лампы, кисти, гвозди, краны и т.п.)</t>
  </si>
  <si>
    <t xml:space="preserve">материалы топосъемки </t>
  </si>
  <si>
    <t xml:space="preserve">опломбирование узла учета </t>
  </si>
  <si>
    <t>запрос в ТоРЦе</t>
  </si>
  <si>
    <t>за счет взносов на содержание 2013</t>
  </si>
  <si>
    <t>коммунальные услуги на 31.01.2013</t>
  </si>
  <si>
    <t>циркуляционный насос</t>
  </si>
  <si>
    <t>Доставка материалов (цемент, двери...)</t>
  </si>
  <si>
    <t>ИТОГО выполнено самостоятельно ТСЖ</t>
  </si>
  <si>
    <t>ООО "Альбатрос", юридические услуги по оформлению прав</t>
  </si>
  <si>
    <t>Итого</t>
  </si>
  <si>
    <t>Отчет о расходах за период с 04.05.2011 - 31.01.2013</t>
  </si>
  <si>
    <t>ООО "СК "СПС-Оптим" ( устройство кровли из наплавляемых материалов и устройство металлической кровли (крыша дома, веранды, вход в 1 и 5 б/с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</si>
</sst>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 vertical="top" wrapText="1"/>
    </xf>
    <xf numFmtId="4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4"/>
  <sheetViews>
    <sheetView tabSelected="1" view="pageBreakPreview" zoomScaleSheetLayoutView="100" zoomScalePageLayoutView="0" workbookViewId="0" topLeftCell="A7">
      <selection activeCell="A11" sqref="A11:IV11"/>
    </sheetView>
  </sheetViews>
  <sheetFormatPr defaultColWidth="9.140625" defaultRowHeight="12.75"/>
  <cols>
    <col min="1" max="1" width="4.28125" style="2" customWidth="1"/>
    <col min="2" max="2" width="71.57421875" style="2" customWidth="1"/>
    <col min="3" max="3" width="15.28125" style="2" customWidth="1"/>
    <col min="4" max="4" width="14.140625" style="2" customWidth="1"/>
    <col min="5" max="5" width="14.28125" style="0" customWidth="1"/>
    <col min="6" max="6" width="14.421875" style="0" customWidth="1"/>
    <col min="7" max="7" width="16.00390625" style="0" customWidth="1"/>
    <col min="8" max="8" width="11.57421875" style="0" bestFit="1" customWidth="1"/>
    <col min="9" max="9" width="16.00390625" style="0" customWidth="1"/>
  </cols>
  <sheetData>
    <row r="1" spans="1:6" ht="18" customHeight="1">
      <c r="A1" s="82" t="s">
        <v>170</v>
      </c>
      <c r="B1" s="82"/>
      <c r="C1" s="82"/>
      <c r="D1" s="82"/>
      <c r="E1" s="82"/>
      <c r="F1" s="82"/>
    </row>
    <row r="2" ht="12.75" hidden="1"/>
    <row r="3" spans="1:7" ht="25.5" customHeight="1">
      <c r="A3" s="69" t="s">
        <v>4</v>
      </c>
      <c r="B3" s="72"/>
      <c r="C3" s="72"/>
      <c r="D3" s="72"/>
      <c r="E3" s="72"/>
      <c r="F3" s="73"/>
      <c r="G3" s="1"/>
    </row>
    <row r="4" spans="1:7" ht="26.25" customHeight="1">
      <c r="A4" s="7" t="s">
        <v>0</v>
      </c>
      <c r="B4" s="83" t="s">
        <v>1</v>
      </c>
      <c r="C4" s="84"/>
      <c r="D4" s="9" t="s">
        <v>5</v>
      </c>
      <c r="E4" s="8" t="s">
        <v>2</v>
      </c>
      <c r="F4" s="10" t="s">
        <v>3</v>
      </c>
      <c r="G4" s="1"/>
    </row>
    <row r="5" spans="1:7" ht="26.25" customHeight="1">
      <c r="A5" s="77" t="s">
        <v>106</v>
      </c>
      <c r="B5" s="78"/>
      <c r="C5" s="49">
        <v>35977364.95</v>
      </c>
      <c r="D5" s="45"/>
      <c r="E5" s="46"/>
      <c r="F5" s="47"/>
      <c r="G5" s="1"/>
    </row>
    <row r="6" spans="1:7" ht="26.25" customHeight="1">
      <c r="A6" s="77" t="s">
        <v>107</v>
      </c>
      <c r="B6" s="78"/>
      <c r="C6" s="49">
        <v>1541124.2</v>
      </c>
      <c r="D6" s="45"/>
      <c r="E6" s="46"/>
      <c r="F6" s="47"/>
      <c r="G6" s="55"/>
    </row>
    <row r="7" spans="1:7" ht="26.25" customHeight="1">
      <c r="A7" s="88" t="s">
        <v>108</v>
      </c>
      <c r="B7" s="89"/>
      <c r="C7" s="48">
        <f>C5+C6</f>
        <v>37518489.150000006</v>
      </c>
      <c r="D7" s="45"/>
      <c r="E7" s="46"/>
      <c r="F7" s="47"/>
      <c r="G7" s="19"/>
    </row>
    <row r="8" spans="1:9" ht="21.75" customHeight="1">
      <c r="A8" s="79"/>
      <c r="B8" s="79"/>
      <c r="C8" s="81"/>
      <c r="D8" s="85">
        <f>SUM(D10:D96)</f>
        <v>36913637.12362999</v>
      </c>
      <c r="E8" s="85">
        <f>E48+E81+E97</f>
        <v>36980455.73363</v>
      </c>
      <c r="F8" s="85">
        <f>C7-E8</f>
        <v>538033.4163700044</v>
      </c>
      <c r="G8" s="19"/>
      <c r="H8" s="76"/>
      <c r="I8" s="76"/>
    </row>
    <row r="9" spans="1:9" ht="1.5" customHeight="1" hidden="1">
      <c r="A9" s="80"/>
      <c r="B9" s="80"/>
      <c r="C9" s="80"/>
      <c r="D9" s="86"/>
      <c r="E9" s="87"/>
      <c r="F9" s="87"/>
      <c r="G9" s="1"/>
      <c r="H9" s="1"/>
      <c r="I9" s="1"/>
    </row>
    <row r="10" spans="1:9" ht="42" customHeight="1">
      <c r="A10" s="4">
        <v>1</v>
      </c>
      <c r="B10" s="26" t="s">
        <v>91</v>
      </c>
      <c r="C10" s="27"/>
      <c r="D10" s="12">
        <v>100000</v>
      </c>
      <c r="E10" s="13">
        <v>100000</v>
      </c>
      <c r="F10" s="13">
        <f>D10-E10</f>
        <v>0</v>
      </c>
      <c r="G10" s="1"/>
      <c r="H10" s="1"/>
      <c r="I10" s="1"/>
    </row>
    <row r="11" spans="1:9" s="30" customFormat="1" ht="31.5" customHeight="1">
      <c r="A11" s="4">
        <v>2</v>
      </c>
      <c r="B11" s="32" t="s">
        <v>171</v>
      </c>
      <c r="C11" s="27"/>
      <c r="D11" s="12">
        <f>1097499</f>
        <v>1097499</v>
      </c>
      <c r="E11" s="13">
        <f>495600+67300+106751.18+244655.21+183192.61</f>
        <v>1097499</v>
      </c>
      <c r="F11" s="13">
        <f aca="true" t="shared" si="0" ref="F11:F25">D11-E11</f>
        <v>0</v>
      </c>
      <c r="G11" s="1"/>
      <c r="H11" s="1"/>
      <c r="I11" s="1"/>
    </row>
    <row r="12" spans="1:9" s="30" customFormat="1" ht="41.25" customHeight="1">
      <c r="A12" s="4">
        <v>3</v>
      </c>
      <c r="B12" s="32" t="s">
        <v>85</v>
      </c>
      <c r="C12" s="27"/>
      <c r="D12" s="12">
        <v>82400</v>
      </c>
      <c r="E12" s="13">
        <v>82400</v>
      </c>
      <c r="F12" s="13">
        <f t="shared" si="0"/>
        <v>0</v>
      </c>
      <c r="G12" s="1"/>
      <c r="H12" s="1"/>
      <c r="I12" s="1"/>
    </row>
    <row r="13" spans="1:9" s="30" customFormat="1" ht="25.5">
      <c r="A13" s="4">
        <v>4</v>
      </c>
      <c r="B13" s="32" t="s">
        <v>86</v>
      </c>
      <c r="C13" s="27"/>
      <c r="D13" s="12">
        <v>48654</v>
      </c>
      <c r="E13" s="13">
        <f>38000+10654</f>
        <v>48654</v>
      </c>
      <c r="F13" s="13">
        <f t="shared" si="0"/>
        <v>0</v>
      </c>
      <c r="G13" s="1"/>
      <c r="H13" s="1"/>
      <c r="I13" s="1"/>
    </row>
    <row r="14" spans="1:9" s="30" customFormat="1" ht="19.5" customHeight="1">
      <c r="A14" s="4">
        <v>5</v>
      </c>
      <c r="B14" s="32" t="s">
        <v>87</v>
      </c>
      <c r="C14" s="27"/>
      <c r="D14" s="12">
        <v>198000</v>
      </c>
      <c r="E14" s="13">
        <v>198000</v>
      </c>
      <c r="F14" s="13">
        <f t="shared" si="0"/>
        <v>0</v>
      </c>
      <c r="G14" s="1"/>
      <c r="H14" s="1"/>
      <c r="I14" s="1"/>
    </row>
    <row r="15" spans="1:9" s="30" customFormat="1" ht="25.5">
      <c r="A15" s="4">
        <v>6</v>
      </c>
      <c r="B15" s="32" t="s">
        <v>88</v>
      </c>
      <c r="C15" s="27"/>
      <c r="D15" s="12">
        <v>124551</v>
      </c>
      <c r="E15" s="13">
        <v>124551</v>
      </c>
      <c r="F15" s="13">
        <f t="shared" si="0"/>
        <v>0</v>
      </c>
      <c r="G15" s="1"/>
      <c r="H15" s="1"/>
      <c r="I15" s="1"/>
    </row>
    <row r="16" spans="1:9" s="30" customFormat="1" ht="25.5">
      <c r="A16" s="4">
        <v>7</v>
      </c>
      <c r="B16" s="32" t="s">
        <v>89</v>
      </c>
      <c r="C16" s="27"/>
      <c r="D16" s="12">
        <v>312331</v>
      </c>
      <c r="E16" s="13">
        <v>312331</v>
      </c>
      <c r="F16" s="13">
        <f t="shared" si="0"/>
        <v>0</v>
      </c>
      <c r="G16" s="1"/>
      <c r="H16" s="1"/>
      <c r="I16" s="1"/>
    </row>
    <row r="17" spans="1:9" s="30" customFormat="1" ht="28.5" customHeight="1">
      <c r="A17" s="4">
        <v>8</v>
      </c>
      <c r="B17" s="32" t="s">
        <v>98</v>
      </c>
      <c r="C17" s="27"/>
      <c r="D17" s="12">
        <v>15500</v>
      </c>
      <c r="E17" s="13">
        <v>15500</v>
      </c>
      <c r="F17" s="13">
        <f t="shared" si="0"/>
        <v>0</v>
      </c>
      <c r="G17" s="1"/>
      <c r="H17" s="1"/>
      <c r="I17" s="1"/>
    </row>
    <row r="18" spans="1:9" s="30" customFormat="1" ht="17.25" customHeight="1">
      <c r="A18" s="4">
        <v>9</v>
      </c>
      <c r="B18" s="32" t="s">
        <v>90</v>
      </c>
      <c r="C18" s="27"/>
      <c r="D18" s="12">
        <v>31450</v>
      </c>
      <c r="E18" s="13">
        <v>31450</v>
      </c>
      <c r="F18" s="13">
        <f t="shared" si="0"/>
        <v>0</v>
      </c>
      <c r="G18" s="1"/>
      <c r="H18" s="1"/>
      <c r="I18" s="1"/>
    </row>
    <row r="19" spans="1:7" ht="72" customHeight="1">
      <c r="A19" s="4">
        <v>10</v>
      </c>
      <c r="B19" s="32" t="s">
        <v>100</v>
      </c>
      <c r="C19" s="27"/>
      <c r="D19" s="12">
        <v>7581143.5</v>
      </c>
      <c r="E19" s="13">
        <f>7524371+53772.5+3000</f>
        <v>7581143.5</v>
      </c>
      <c r="F19" s="13">
        <f t="shared" si="0"/>
        <v>0</v>
      </c>
      <c r="G19" s="1"/>
    </row>
    <row r="20" spans="1:7" ht="18.75" customHeight="1">
      <c r="A20" s="5">
        <v>11</v>
      </c>
      <c r="B20" s="27" t="s">
        <v>20</v>
      </c>
      <c r="C20" s="27"/>
      <c r="D20" s="43">
        <f>4412500+216447.86</f>
        <v>4628947.86</v>
      </c>
      <c r="E20" s="13">
        <f>490000+490000+490000+490000+490000+490000+490000+490000+492500+216447.86</f>
        <v>4628947.86</v>
      </c>
      <c r="F20" s="13">
        <f t="shared" si="0"/>
        <v>0</v>
      </c>
      <c r="G20" s="1"/>
    </row>
    <row r="21" spans="1:9" s="30" customFormat="1" ht="31.5" customHeight="1">
      <c r="A21" s="5">
        <v>12</v>
      </c>
      <c r="B21" s="33" t="s">
        <v>21</v>
      </c>
      <c r="C21" s="27"/>
      <c r="D21" s="12">
        <f>8102444+462883.24+153472.18+295336</f>
        <v>9014135.42</v>
      </c>
      <c r="E21" s="13">
        <f>490000+490000+490000+490000+490000+490000+490000+490000+490000+490000+490000+490000+490000+490000+490000+490000+262444+462883.24+295336+153472.18</f>
        <v>9014135.42</v>
      </c>
      <c r="F21" s="13">
        <f t="shared" si="0"/>
        <v>0</v>
      </c>
      <c r="G21" s="1"/>
      <c r="H21" s="1"/>
      <c r="I21" s="1"/>
    </row>
    <row r="22" spans="1:9" s="30" customFormat="1" ht="19.5" customHeight="1">
      <c r="A22" s="5"/>
      <c r="B22" s="32" t="s">
        <v>61</v>
      </c>
      <c r="C22" s="27"/>
      <c r="D22" s="12">
        <f>499106.9+34850.83</f>
        <v>533957.73</v>
      </c>
      <c r="E22" s="13">
        <f>34850.83+499106.9</f>
        <v>533957.73</v>
      </c>
      <c r="F22" s="13">
        <f>D22-E22</f>
        <v>0</v>
      </c>
      <c r="G22" s="1"/>
      <c r="H22" s="1"/>
      <c r="I22" s="1"/>
    </row>
    <row r="23" spans="1:167" ht="17.25" customHeight="1">
      <c r="A23" s="5">
        <v>13</v>
      </c>
      <c r="B23" s="33" t="s">
        <v>99</v>
      </c>
      <c r="C23" s="27"/>
      <c r="D23" s="12">
        <v>63650</v>
      </c>
      <c r="E23" s="13">
        <v>63650</v>
      </c>
      <c r="F23" s="13">
        <f>D23-E23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8.75" customHeight="1">
      <c r="A24" s="4">
        <v>14</v>
      </c>
      <c r="B24" s="27" t="s">
        <v>16</v>
      </c>
      <c r="C24" s="27"/>
      <c r="D24" s="12">
        <v>969392</v>
      </c>
      <c r="E24" s="13">
        <f>581635+387757</f>
        <v>969392</v>
      </c>
      <c r="F24" s="13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26.25" customHeight="1">
      <c r="A25" s="4">
        <v>15</v>
      </c>
      <c r="B25" s="27" t="s">
        <v>45</v>
      </c>
      <c r="C25" s="26"/>
      <c r="D25" s="12">
        <f>4992361.25+300000+1101589.59+82383.24</f>
        <v>6476334.08</v>
      </c>
      <c r="E25" s="13">
        <f>150000+300000+1530463.7+500000+150000+500000+100000+1500000+261897.55+300000+1101589.59+82383.24</f>
        <v>6476334.08</v>
      </c>
      <c r="F25" s="13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26.25" customHeight="1">
      <c r="A26" s="4">
        <v>16</v>
      </c>
      <c r="B26" s="27" t="s">
        <v>76</v>
      </c>
      <c r="C26" s="27"/>
      <c r="D26" s="12">
        <f>693256.5+736</f>
        <v>693992.5</v>
      </c>
      <c r="E26" s="13">
        <f>339315+30924+49627.5+273390+736</f>
        <v>693992.5</v>
      </c>
      <c r="F26" s="13">
        <f>D26-E26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26.25" customHeight="1">
      <c r="A27" s="5">
        <v>17</v>
      </c>
      <c r="B27" s="27" t="s">
        <v>49</v>
      </c>
      <c r="C27" s="27"/>
      <c r="D27" s="12">
        <f>2784.84+50118.71</f>
        <v>52903.55</v>
      </c>
      <c r="E27" s="13">
        <f>48000+4903.55</f>
        <v>52903.55</v>
      </c>
      <c r="F27" s="13">
        <f>D27-E27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8" customHeight="1">
      <c r="A28" s="5">
        <v>18</v>
      </c>
      <c r="B28" s="27" t="s">
        <v>52</v>
      </c>
      <c r="C28" s="34"/>
      <c r="D28" s="12">
        <v>76002.58</v>
      </c>
      <c r="E28" s="13">
        <v>76002.58</v>
      </c>
      <c r="F28" s="13">
        <f>D28-E28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8" customHeight="1">
      <c r="A29" s="4">
        <v>19</v>
      </c>
      <c r="B29" s="27" t="s">
        <v>28</v>
      </c>
      <c r="C29" s="27"/>
      <c r="D29" s="12">
        <f>60299.86+110000</f>
        <v>170299.86</v>
      </c>
      <c r="E29" s="13">
        <f>60299.86+110000</f>
        <v>170299.86</v>
      </c>
      <c r="F29" s="13">
        <f>D29-E29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21" customHeight="1">
      <c r="A30" s="4">
        <v>20</v>
      </c>
      <c r="B30" s="26" t="s">
        <v>36</v>
      </c>
      <c r="C30" s="27"/>
      <c r="D30" s="12">
        <v>253750</v>
      </c>
      <c r="E30" s="13">
        <f>17500+17500+12600+11200+56550+92000+44300+2100</f>
        <v>253750</v>
      </c>
      <c r="F30" s="13">
        <f>D30-E30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8" customHeight="1">
      <c r="A31" s="5">
        <v>21</v>
      </c>
      <c r="B31" s="27" t="s">
        <v>46</v>
      </c>
      <c r="C31" s="27"/>
      <c r="D31" s="12">
        <f>26000+31200+37856</f>
        <v>95056</v>
      </c>
      <c r="E31" s="13">
        <f>26000+31200+37856</f>
        <v>95056</v>
      </c>
      <c r="F31" s="13">
        <f aca="true" t="shared" si="1" ref="F31:F47">D31-E31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27.75" customHeight="1">
      <c r="A32" s="5">
        <v>22</v>
      </c>
      <c r="B32" s="27" t="s">
        <v>48</v>
      </c>
      <c r="C32" s="27"/>
      <c r="D32" s="12">
        <v>320000</v>
      </c>
      <c r="E32" s="13">
        <f>160000+160000</f>
        <v>320000</v>
      </c>
      <c r="F32" s="13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26.25" customHeight="1">
      <c r="A33" s="5">
        <v>23</v>
      </c>
      <c r="B33" s="33" t="s">
        <v>80</v>
      </c>
      <c r="C33" s="27"/>
      <c r="D33" s="12">
        <v>2850</v>
      </c>
      <c r="E33" s="13">
        <v>2850</v>
      </c>
      <c r="F33" s="13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21" customHeight="1">
      <c r="A34" s="5">
        <v>24</v>
      </c>
      <c r="B34" s="33" t="s">
        <v>81</v>
      </c>
      <c r="C34" s="27"/>
      <c r="D34" s="12">
        <v>5000</v>
      </c>
      <c r="E34" s="13">
        <v>5000</v>
      </c>
      <c r="F34" s="13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9.5" customHeight="1">
      <c r="A35" s="4">
        <v>25</v>
      </c>
      <c r="B35" s="33" t="s">
        <v>72</v>
      </c>
      <c r="C35" s="27"/>
      <c r="D35" s="12">
        <f>77898</f>
        <v>77898</v>
      </c>
      <c r="E35" s="13">
        <f>77898</f>
        <v>77898</v>
      </c>
      <c r="F35" s="13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38.25" customHeight="1">
      <c r="A36" s="5">
        <v>26</v>
      </c>
      <c r="B36" s="34" t="s">
        <v>82</v>
      </c>
      <c r="C36" s="27" t="s">
        <v>74</v>
      </c>
      <c r="D36" s="12">
        <f>82602+69300+1250</f>
        <v>153152</v>
      </c>
      <c r="E36" s="42">
        <f>82602+69300+1250</f>
        <v>153152</v>
      </c>
      <c r="F36" s="13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22.5" customHeight="1">
      <c r="A37" s="5">
        <v>27</v>
      </c>
      <c r="B37" s="33" t="s">
        <v>75</v>
      </c>
      <c r="C37" s="27" t="s">
        <v>74</v>
      </c>
      <c r="D37" s="12">
        <v>89680</v>
      </c>
      <c r="E37" s="13">
        <v>89680</v>
      </c>
      <c r="F37" s="13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23.25" customHeight="1">
      <c r="A38" s="5">
        <v>28</v>
      </c>
      <c r="B38" s="33" t="s">
        <v>83</v>
      </c>
      <c r="C38" s="27" t="s">
        <v>74</v>
      </c>
      <c r="D38" s="12">
        <f>270411+143036</f>
        <v>413447</v>
      </c>
      <c r="E38" s="13">
        <f>270411+143036</f>
        <v>413447</v>
      </c>
      <c r="F38" s="13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21.75" customHeight="1">
      <c r="A39" s="5">
        <v>29</v>
      </c>
      <c r="B39" s="27" t="s">
        <v>73</v>
      </c>
      <c r="C39" s="27" t="s">
        <v>71</v>
      </c>
      <c r="D39" s="12">
        <f>30750+118660</f>
        <v>149410</v>
      </c>
      <c r="E39" s="13">
        <f>66480+52180+30750</f>
        <v>149410</v>
      </c>
      <c r="F39" s="13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26.25" customHeight="1">
      <c r="A40" s="5">
        <v>30</v>
      </c>
      <c r="B40" s="27" t="s">
        <v>55</v>
      </c>
      <c r="C40" s="27"/>
      <c r="D40" s="12">
        <f>5352.41-832.27</f>
        <v>4520.139999999999</v>
      </c>
      <c r="E40" s="13">
        <f>233.06+1444.91+1771.18+185.4+1717.86-832.27</f>
        <v>4520.139999999999</v>
      </c>
      <c r="F40" s="13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9.5" customHeight="1">
      <c r="A41" s="5">
        <v>31</v>
      </c>
      <c r="B41" s="26" t="s">
        <v>96</v>
      </c>
      <c r="C41" s="27"/>
      <c r="D41" s="12">
        <v>77300</v>
      </c>
      <c r="E41" s="13">
        <v>77300</v>
      </c>
      <c r="F41" s="13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21" customHeight="1">
      <c r="A42" s="5">
        <v>32</v>
      </c>
      <c r="B42" s="32" t="s">
        <v>97</v>
      </c>
      <c r="C42" s="27"/>
      <c r="D42" s="12">
        <v>134381.72</v>
      </c>
      <c r="E42" s="13">
        <f>143270.6-8888.88</f>
        <v>134381.72</v>
      </c>
      <c r="F42" s="13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4.25" customHeight="1">
      <c r="A43" s="5"/>
      <c r="B43" s="32" t="s">
        <v>112</v>
      </c>
      <c r="C43" s="27"/>
      <c r="D43" s="12">
        <v>5000</v>
      </c>
      <c r="E43" s="13">
        <v>5000</v>
      </c>
      <c r="F43" s="13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21.75" customHeight="1">
      <c r="A44" s="5">
        <v>33</v>
      </c>
      <c r="B44" s="32" t="s">
        <v>109</v>
      </c>
      <c r="C44" s="27"/>
      <c r="D44" s="12">
        <v>36200</v>
      </c>
      <c r="E44" s="13">
        <v>36200</v>
      </c>
      <c r="F44" s="13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24" customHeight="1">
      <c r="A45" s="5"/>
      <c r="B45" s="32" t="s">
        <v>114</v>
      </c>
      <c r="C45" s="27"/>
      <c r="D45" s="12">
        <v>316800</v>
      </c>
      <c r="E45" s="13">
        <v>316800</v>
      </c>
      <c r="F45" s="13">
        <f>D45-E45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0.75" customHeight="1">
      <c r="A46" s="5"/>
      <c r="B46" s="32"/>
      <c r="C46" s="27"/>
      <c r="D46" s="12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24" customHeight="1">
      <c r="A47" s="5">
        <v>34</v>
      </c>
      <c r="B47" s="32" t="s">
        <v>102</v>
      </c>
      <c r="C47" s="27"/>
      <c r="D47" s="12">
        <v>5500</v>
      </c>
      <c r="E47" s="13">
        <v>5500</v>
      </c>
      <c r="F47" s="13">
        <f t="shared" si="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27.75" customHeight="1">
      <c r="A48" s="36"/>
      <c r="B48" s="41" t="s">
        <v>93</v>
      </c>
      <c r="C48" s="37"/>
      <c r="D48" s="38"/>
      <c r="E48" s="39">
        <f>SUM(E10:E47)</f>
        <v>34411088.94</v>
      </c>
      <c r="F48" s="3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30.75" customHeight="1">
      <c r="A49" s="4">
        <v>1</v>
      </c>
      <c r="B49" s="27" t="s">
        <v>27</v>
      </c>
      <c r="C49" s="27"/>
      <c r="D49" s="12">
        <f>(17250+17250+12500+3136.36+17250+17250)</f>
        <v>84636.36</v>
      </c>
      <c r="E49" s="12">
        <f>(17250+17250+12500+3136.36+17250+17250)</f>
        <v>84636.36</v>
      </c>
      <c r="F49" s="13">
        <f aca="true" t="shared" si="2" ref="F49:F80">D49-E49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31.5" customHeight="1">
      <c r="A50" s="4">
        <v>2</v>
      </c>
      <c r="B50" s="27" t="s">
        <v>38</v>
      </c>
      <c r="C50" s="27"/>
      <c r="D50" s="12">
        <f>9200</f>
        <v>9200</v>
      </c>
      <c r="E50" s="12">
        <f>9200</f>
        <v>9200</v>
      </c>
      <c r="F50" s="13">
        <f t="shared" si="2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36" customHeight="1">
      <c r="A51" s="5">
        <v>3</v>
      </c>
      <c r="B51" s="27" t="s">
        <v>40</v>
      </c>
      <c r="C51" s="27"/>
      <c r="D51" s="12">
        <f>3136+17250</f>
        <v>20386</v>
      </c>
      <c r="E51" s="12">
        <f>3136+17250</f>
        <v>20386</v>
      </c>
      <c r="F51" s="13">
        <f t="shared" si="2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35.25" customHeight="1">
      <c r="A52" s="5">
        <v>4</v>
      </c>
      <c r="B52" s="27" t="s">
        <v>41</v>
      </c>
      <c r="C52" s="27"/>
      <c r="D52" s="12">
        <f>24072.37</f>
        <v>24072.37</v>
      </c>
      <c r="E52" s="12">
        <f>24072.37</f>
        <v>24072.37</v>
      </c>
      <c r="F52" s="13">
        <f t="shared" si="2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9.5" customHeight="1">
      <c r="A53" s="5"/>
      <c r="B53" s="27" t="s">
        <v>156</v>
      </c>
      <c r="C53" s="27"/>
      <c r="D53" s="12">
        <f>(D49+D50+3136+D52)*23.1%</f>
        <v>27961.33263</v>
      </c>
      <c r="E53" s="12">
        <f>(E49+E50+3136+E52)*23.1%</f>
        <v>27961.33263</v>
      </c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32.25" customHeight="1">
      <c r="A54" s="5">
        <v>5</v>
      </c>
      <c r="B54" s="32" t="s">
        <v>130</v>
      </c>
      <c r="C54" s="32" t="s">
        <v>131</v>
      </c>
      <c r="D54" s="12">
        <f>(33118.36+118162.5+5750+194353.87+49824.15)</f>
        <v>401208.88</v>
      </c>
      <c r="E54" s="12">
        <f>(33118.36+118162.5+5750+194353.87+49824.15)</f>
        <v>401208.88</v>
      </c>
      <c r="F54" s="13">
        <f t="shared" si="2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9.5" customHeight="1">
      <c r="A55" s="5"/>
      <c r="B55" s="27" t="s">
        <v>157</v>
      </c>
      <c r="C55" s="32">
        <v>2012</v>
      </c>
      <c r="D55" s="12">
        <f>(D54+17250)*20%</f>
        <v>83691.77600000001</v>
      </c>
      <c r="E55" s="12">
        <f>(E54+17250)*20%</f>
        <v>83691.77600000001</v>
      </c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26.25" customHeight="1">
      <c r="A56" s="5">
        <v>6</v>
      </c>
      <c r="B56" s="32" t="s">
        <v>92</v>
      </c>
      <c r="C56" s="27"/>
      <c r="D56" s="12">
        <f>60745</f>
        <v>60745</v>
      </c>
      <c r="E56" s="12">
        <f>60745</f>
        <v>60745</v>
      </c>
      <c r="F56" s="13">
        <f>D56-E56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8" customHeight="1">
      <c r="A57" s="5"/>
      <c r="B57" s="27" t="s">
        <v>158</v>
      </c>
      <c r="C57" s="27">
        <v>2011</v>
      </c>
      <c r="D57" s="12">
        <f>D56*23.1%</f>
        <v>14032.095000000001</v>
      </c>
      <c r="E57" s="12">
        <f>E56*23.1%</f>
        <v>14032.095000000001</v>
      </c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15.75" customHeight="1">
      <c r="A58" s="4">
        <v>7</v>
      </c>
      <c r="B58" s="27" t="s">
        <v>39</v>
      </c>
      <c r="C58" s="27"/>
      <c r="D58" s="12">
        <v>7238.5</v>
      </c>
      <c r="E58" s="13">
        <f>4712.5+377+2149</f>
        <v>7238.5</v>
      </c>
      <c r="F58" s="13">
        <f t="shared" si="2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18" customHeight="1">
      <c r="A59" s="4">
        <v>8</v>
      </c>
      <c r="B59" s="27" t="s">
        <v>26</v>
      </c>
      <c r="C59" s="27"/>
      <c r="D59" s="12">
        <v>13780.9</v>
      </c>
      <c r="E59" s="13">
        <f>2570.48+1002.65+3759.46+1794+544.05+2334.96+1775.3</f>
        <v>13780.899999999998</v>
      </c>
      <c r="F59" s="13">
        <f t="shared" si="2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14.25" customHeight="1">
      <c r="A60" s="5">
        <v>9</v>
      </c>
      <c r="B60" s="27" t="s">
        <v>42</v>
      </c>
      <c r="C60" s="27"/>
      <c r="D60" s="12">
        <v>13458.08</v>
      </c>
      <c r="E60" s="13">
        <f>698.92+529.6+474+455+35+6727+125.12+446.86+209+641.7+189.05+1059.75+269.56+40+51.52+478+514+514</f>
        <v>13458.080000000002</v>
      </c>
      <c r="F60" s="13">
        <f t="shared" si="2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8" customHeight="1">
      <c r="A61" s="4">
        <v>10</v>
      </c>
      <c r="B61" s="27" t="s">
        <v>29</v>
      </c>
      <c r="C61" s="27"/>
      <c r="D61" s="12">
        <v>1479.36</v>
      </c>
      <c r="E61" s="13">
        <f>441.6+1037.76</f>
        <v>1479.3600000000001</v>
      </c>
      <c r="F61" s="13">
        <f t="shared" si="2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6.5" customHeight="1">
      <c r="A62" s="5">
        <v>11</v>
      </c>
      <c r="B62" s="27" t="s">
        <v>35</v>
      </c>
      <c r="C62" s="27"/>
      <c r="D62" s="12">
        <v>7451.71</v>
      </c>
      <c r="E62" s="13">
        <v>7451.71</v>
      </c>
      <c r="F62" s="13">
        <f t="shared" si="2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2.75">
      <c r="A63" s="5">
        <v>12</v>
      </c>
      <c r="B63" s="27" t="s">
        <v>33</v>
      </c>
      <c r="C63" s="27"/>
      <c r="D63" s="12">
        <v>358.8</v>
      </c>
      <c r="E63" s="13">
        <v>358.8</v>
      </c>
      <c r="F63" s="13">
        <f t="shared" si="2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2.75">
      <c r="A64" s="5">
        <v>13</v>
      </c>
      <c r="B64" s="27" t="s">
        <v>32</v>
      </c>
      <c r="C64" s="27"/>
      <c r="D64" s="12">
        <v>162</v>
      </c>
      <c r="E64" s="13">
        <v>162</v>
      </c>
      <c r="F64" s="13">
        <f t="shared" si="2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12.75">
      <c r="A65" s="5">
        <v>14</v>
      </c>
      <c r="B65" s="27" t="s">
        <v>15</v>
      </c>
      <c r="C65" s="27"/>
      <c r="D65" s="12">
        <v>279.9</v>
      </c>
      <c r="E65" s="13">
        <v>279.9</v>
      </c>
      <c r="F65" s="13">
        <f t="shared" si="2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2.75">
      <c r="A66" s="5">
        <v>15</v>
      </c>
      <c r="B66" s="27" t="s">
        <v>54</v>
      </c>
      <c r="C66" s="27"/>
      <c r="D66" s="12">
        <v>1372.79</v>
      </c>
      <c r="E66" s="13">
        <v>1372.79</v>
      </c>
      <c r="F66" s="13">
        <f t="shared" si="2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20.25" customHeight="1">
      <c r="A67" s="5">
        <v>16</v>
      </c>
      <c r="B67" s="27" t="s">
        <v>53</v>
      </c>
      <c r="C67" s="27"/>
      <c r="D67" s="12">
        <v>1271.04</v>
      </c>
      <c r="E67" s="13">
        <f>225.74+332+713.3</f>
        <v>1271.04</v>
      </c>
      <c r="F67" s="13">
        <f t="shared" si="2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26.25" customHeight="1">
      <c r="A68" s="5">
        <v>17</v>
      </c>
      <c r="B68" s="27" t="s">
        <v>159</v>
      </c>
      <c r="C68" s="27"/>
      <c r="D68" s="12">
        <v>172437.04</v>
      </c>
      <c r="E68" s="13">
        <f>154335.04+18102</f>
        <v>172437.04</v>
      </c>
      <c r="F68" s="13">
        <f t="shared" si="2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20.25" customHeight="1">
      <c r="A69" s="5">
        <v>18</v>
      </c>
      <c r="B69" s="27" t="s">
        <v>59</v>
      </c>
      <c r="C69" s="27"/>
      <c r="D69" s="12">
        <v>36403</v>
      </c>
      <c r="E69" s="13">
        <v>36403</v>
      </c>
      <c r="F69" s="13">
        <f t="shared" si="2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18" customHeight="1">
      <c r="A70" s="5"/>
      <c r="B70" s="26" t="s">
        <v>166</v>
      </c>
      <c r="C70" s="27"/>
      <c r="D70" s="12"/>
      <c r="E70" s="13">
        <v>1500</v>
      </c>
      <c r="F70" s="1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7.25" customHeight="1">
      <c r="A71" s="5"/>
      <c r="B71" s="27" t="s">
        <v>141</v>
      </c>
      <c r="C71" s="27"/>
      <c r="D71" s="12"/>
      <c r="E71" s="13">
        <v>1788</v>
      </c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4.25" customHeight="1">
      <c r="A72" s="5"/>
      <c r="B72" s="27" t="s">
        <v>142</v>
      </c>
      <c r="C72" s="27"/>
      <c r="D72" s="12"/>
      <c r="E72" s="13">
        <f>606+202</f>
        <v>808</v>
      </c>
      <c r="F72" s="1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21" customHeight="1">
      <c r="A73" s="5"/>
      <c r="B73" s="27" t="s">
        <v>160</v>
      </c>
      <c r="C73" s="27"/>
      <c r="D73" s="12"/>
      <c r="E73" s="13">
        <v>481.11</v>
      </c>
      <c r="F73" s="1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26.25" customHeight="1">
      <c r="A74" s="5"/>
      <c r="B74" s="27" t="s">
        <v>143</v>
      </c>
      <c r="C74" s="27"/>
      <c r="D74" s="12"/>
      <c r="E74" s="13">
        <v>5334.5</v>
      </c>
      <c r="F74" s="1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21" customHeight="1">
      <c r="A75" s="5"/>
      <c r="B75" s="27" t="s">
        <v>144</v>
      </c>
      <c r="C75" s="27"/>
      <c r="D75" s="12"/>
      <c r="E75" s="13">
        <v>2312</v>
      </c>
      <c r="F75" s="1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6.5" customHeight="1">
      <c r="A76" s="5"/>
      <c r="B76" s="27" t="s">
        <v>162</v>
      </c>
      <c r="C76" s="27"/>
      <c r="D76" s="12"/>
      <c r="E76" s="13">
        <v>200</v>
      </c>
      <c r="F76" s="1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8" customHeight="1">
      <c r="A77" s="5"/>
      <c r="B77" s="27" t="s">
        <v>145</v>
      </c>
      <c r="C77" s="27"/>
      <c r="D77" s="12"/>
      <c r="E77" s="13">
        <v>300</v>
      </c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8" customHeight="1">
      <c r="A78" s="5"/>
      <c r="B78" s="27" t="s">
        <v>165</v>
      </c>
      <c r="C78" s="27"/>
      <c r="D78" s="12"/>
      <c r="E78" s="13">
        <v>54095</v>
      </c>
      <c r="F78" s="1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7.25" customHeight="1">
      <c r="A79" s="5"/>
      <c r="B79" s="32" t="s">
        <v>110</v>
      </c>
      <c r="C79" s="27"/>
      <c r="D79" s="12">
        <v>101454.01</v>
      </c>
      <c r="E79" s="13">
        <v>101454.01</v>
      </c>
      <c r="F79" s="13">
        <f t="shared" si="2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20.25" customHeight="1">
      <c r="A80" s="5">
        <v>19</v>
      </c>
      <c r="B80" s="32" t="s">
        <v>70</v>
      </c>
      <c r="C80" s="27"/>
      <c r="D80" s="12">
        <v>486</v>
      </c>
      <c r="E80" s="13">
        <v>486</v>
      </c>
      <c r="F80" s="13">
        <f t="shared" si="2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26.25" customHeight="1">
      <c r="A81" s="40"/>
      <c r="B81" s="41" t="s">
        <v>167</v>
      </c>
      <c r="C81" s="37"/>
      <c r="D81" s="38"/>
      <c r="E81" s="39">
        <f>SUM(E49:E80)</f>
        <v>1150385.55363</v>
      </c>
      <c r="F81" s="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26.25" customHeight="1" hidden="1">
      <c r="A82" s="5"/>
      <c r="B82" s="33"/>
      <c r="C82" s="27"/>
      <c r="D82" s="12"/>
      <c r="E82" s="13"/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26.25" customHeight="1">
      <c r="A83" s="5">
        <v>1</v>
      </c>
      <c r="B83" s="32" t="s">
        <v>168</v>
      </c>
      <c r="C83" s="27"/>
      <c r="D83" s="12">
        <f>158865+160500+210255-8830</f>
        <v>520790</v>
      </c>
      <c r="E83" s="50">
        <f>100000+58865+130500+30000+195255+15000-8830</f>
        <v>520790</v>
      </c>
      <c r="F83" s="13">
        <f>D83-E83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26.25" customHeight="1">
      <c r="A84" s="5">
        <v>2</v>
      </c>
      <c r="B84" s="33" t="s">
        <v>63</v>
      </c>
      <c r="C84" s="27"/>
      <c r="D84" s="12">
        <v>140220</v>
      </c>
      <c r="E84" s="13">
        <f>74580+20970+5810+33140+5720</f>
        <v>140220</v>
      </c>
      <c r="F84" s="13">
        <f>D84-E84</f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26.25" customHeight="1">
      <c r="A85" s="5">
        <v>3</v>
      </c>
      <c r="B85" s="27" t="s">
        <v>43</v>
      </c>
      <c r="C85" s="27"/>
      <c r="D85" s="12">
        <f>200154.5+200154.5+12000</f>
        <v>412309</v>
      </c>
      <c r="E85" s="13">
        <f>200154.5+200154.5+12000</f>
        <v>412309</v>
      </c>
      <c r="F85" s="13">
        <f>D85-E85</f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26.25" customHeight="1">
      <c r="A86" s="5">
        <v>4</v>
      </c>
      <c r="B86" s="27" t="s">
        <v>79</v>
      </c>
      <c r="C86" s="27"/>
      <c r="D86" s="12">
        <v>2800</v>
      </c>
      <c r="E86" s="13">
        <v>2800</v>
      </c>
      <c r="F86" s="13"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26.25" customHeight="1">
      <c r="A87" s="5">
        <v>5</v>
      </c>
      <c r="B87" s="27" t="s">
        <v>44</v>
      </c>
      <c r="C87" s="27"/>
      <c r="D87" s="12">
        <v>96358.97</v>
      </c>
      <c r="E87" s="13">
        <v>96358.97</v>
      </c>
      <c r="F87" s="13">
        <f>D87-E87</f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22.5" customHeight="1">
      <c r="A88" s="4">
        <v>6</v>
      </c>
      <c r="B88" s="27" t="s">
        <v>31</v>
      </c>
      <c r="C88" s="27"/>
      <c r="D88" s="12">
        <f>4500+3900+675+1000</f>
        <v>10075</v>
      </c>
      <c r="E88" s="13">
        <f>4500+3900+675+1000</f>
        <v>10075</v>
      </c>
      <c r="F88" s="13">
        <f>D88-E88</f>
        <v>0</v>
      </c>
      <c r="G88" s="5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23.25" customHeight="1">
      <c r="A89" s="5">
        <v>7</v>
      </c>
      <c r="B89" s="33" t="s">
        <v>77</v>
      </c>
      <c r="C89" s="27"/>
      <c r="D89" s="12">
        <v>2500</v>
      </c>
      <c r="E89" s="13">
        <v>2500</v>
      </c>
      <c r="F89" s="13">
        <f>D89-E89</f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ht="26.25" customHeight="1">
      <c r="A90" s="5">
        <v>8</v>
      </c>
      <c r="B90" s="33" t="s">
        <v>64</v>
      </c>
      <c r="C90" s="27"/>
      <c r="D90" s="12">
        <v>34107.95</v>
      </c>
      <c r="E90" s="13">
        <v>34107.95</v>
      </c>
      <c r="F90" s="13"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ht="26.25" customHeight="1">
      <c r="A91" s="5">
        <v>9</v>
      </c>
      <c r="B91" s="33" t="s">
        <v>62</v>
      </c>
      <c r="C91" s="27"/>
      <c r="D91" s="12">
        <v>0.32</v>
      </c>
      <c r="E91" s="13">
        <v>0.32</v>
      </c>
      <c r="F91" s="13"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21" customHeight="1">
      <c r="A92" s="5">
        <v>10</v>
      </c>
      <c r="B92" s="33" t="s">
        <v>69</v>
      </c>
      <c r="C92" s="27"/>
      <c r="D92" s="12">
        <v>4000</v>
      </c>
      <c r="E92" s="13">
        <v>4000</v>
      </c>
      <c r="F92" s="13">
        <f>D92-E92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26.25" customHeight="1">
      <c r="A93" s="5">
        <v>11</v>
      </c>
      <c r="B93" s="33" t="s">
        <v>66</v>
      </c>
      <c r="C93" s="27"/>
      <c r="D93" s="12">
        <v>7470</v>
      </c>
      <c r="E93" s="13">
        <v>7470</v>
      </c>
      <c r="F93" s="13">
        <f>D93-E93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26.25" customHeight="1">
      <c r="A94" s="5">
        <v>12</v>
      </c>
      <c r="B94" s="33" t="s">
        <v>84</v>
      </c>
      <c r="C94" s="27"/>
      <c r="D94" s="12">
        <v>68350</v>
      </c>
      <c r="E94" s="13">
        <v>68350</v>
      </c>
      <c r="F94" s="13">
        <f>D94-E94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26.25" customHeight="1">
      <c r="A95" s="5">
        <v>13</v>
      </c>
      <c r="B95" s="33" t="s">
        <v>95</v>
      </c>
      <c r="C95" s="27"/>
      <c r="D95" s="12">
        <v>75000</v>
      </c>
      <c r="E95" s="13">
        <v>75000</v>
      </c>
      <c r="F95" s="13">
        <f>D95-E95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26.25" customHeight="1">
      <c r="A96" s="5">
        <v>14</v>
      </c>
      <c r="B96" s="33" t="s">
        <v>101</v>
      </c>
      <c r="C96" s="27"/>
      <c r="D96" s="12">
        <f>25000+20000</f>
        <v>45000</v>
      </c>
      <c r="E96" s="13">
        <f>25000+20000</f>
        <v>45000</v>
      </c>
      <c r="F96" s="13">
        <f>D96-E96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29.25" customHeight="1">
      <c r="A97" s="36"/>
      <c r="B97" s="41" t="s">
        <v>94</v>
      </c>
      <c r="C97" s="37"/>
      <c r="D97" s="38"/>
      <c r="E97" s="39">
        <f>E83+E84+E85+E86+E87+E88+E89+E90+E91+E92+E93+E94+E96+E95</f>
        <v>1418981.24</v>
      </c>
      <c r="F97" s="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25.5" customHeight="1">
      <c r="A98" s="69" t="s">
        <v>65</v>
      </c>
      <c r="B98" s="72"/>
      <c r="C98" s="72"/>
      <c r="D98" s="72"/>
      <c r="E98" s="72"/>
      <c r="F98" s="7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26.25" customHeight="1">
      <c r="A99" s="5"/>
      <c r="B99" s="31" t="s">
        <v>60</v>
      </c>
      <c r="C99" s="35">
        <f>7348301.99+7197013.17+988374.54+2253721.02</f>
        <v>17787410.72</v>
      </c>
      <c r="D99" s="12"/>
      <c r="E99" s="13">
        <f>E105+E104+E103+E102+E101+E100</f>
        <v>17787410.72</v>
      </c>
      <c r="F99" s="13">
        <f>C99-E99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20.25" customHeight="1">
      <c r="A100" s="5">
        <v>1</v>
      </c>
      <c r="B100" s="21" t="s">
        <v>61</v>
      </c>
      <c r="C100" s="51"/>
      <c r="D100" s="12">
        <v>11780520.38</v>
      </c>
      <c r="E100" s="13">
        <f>980000+462556.64+7095868.18+988374.54+1853721.02+400000</f>
        <v>11780520.379999999</v>
      </c>
      <c r="F100" s="13">
        <f>D100-E100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ht="26.25" customHeight="1">
      <c r="A101" s="5">
        <v>2</v>
      </c>
      <c r="B101" s="28" t="s">
        <v>62</v>
      </c>
      <c r="C101" s="22"/>
      <c r="D101" s="12">
        <v>4160236.32</v>
      </c>
      <c r="E101" s="13">
        <v>4160236</v>
      </c>
      <c r="F101" s="13">
        <f>D101-E101</f>
        <v>0.31999999983236194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ht="26.25" customHeight="1">
      <c r="A102" s="5">
        <v>3</v>
      </c>
      <c r="B102" s="21" t="s">
        <v>47</v>
      </c>
      <c r="C102" s="22"/>
      <c r="D102" s="12">
        <v>968000</v>
      </c>
      <c r="E102" s="13">
        <f>500000+468000</f>
        <v>968000</v>
      </c>
      <c r="F102" s="13">
        <f>D102-E102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ht="26.25" customHeight="1">
      <c r="A103" s="5">
        <v>4</v>
      </c>
      <c r="B103" s="21" t="s">
        <v>50</v>
      </c>
      <c r="C103" s="52"/>
      <c r="D103" s="12">
        <v>777509.35</v>
      </c>
      <c r="E103" s="13">
        <v>777509.35</v>
      </c>
      <c r="F103" s="13">
        <f>D103-E103</f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ht="25.5">
      <c r="A104" s="5">
        <v>5</v>
      </c>
      <c r="B104" s="21" t="s">
        <v>57</v>
      </c>
      <c r="C104" s="22"/>
      <c r="D104" s="12">
        <v>47632.9</v>
      </c>
      <c r="E104" s="13">
        <v>47632.9</v>
      </c>
      <c r="F104" s="13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2" customHeight="1">
      <c r="A105" s="5">
        <v>6</v>
      </c>
      <c r="B105" s="21" t="s">
        <v>58</v>
      </c>
      <c r="C105" s="22"/>
      <c r="D105" s="12">
        <v>53512.09</v>
      </c>
      <c r="E105" s="13">
        <v>53512.09</v>
      </c>
      <c r="F105" s="13"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2.75" hidden="1">
      <c r="A106" s="5"/>
      <c r="B106" s="21"/>
      <c r="C106" s="22"/>
      <c r="D106" s="12"/>
      <c r="E106" s="13"/>
      <c r="F106" s="1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12.75" hidden="1">
      <c r="A107" s="5"/>
      <c r="B107" s="21"/>
      <c r="C107" s="22"/>
      <c r="D107" s="12"/>
      <c r="E107" s="13"/>
      <c r="F107" s="1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12.75" hidden="1">
      <c r="A108" s="5"/>
      <c r="B108" s="28"/>
      <c r="C108" s="22"/>
      <c r="D108" s="12"/>
      <c r="E108" s="13"/>
      <c r="F108" s="1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26.25" customHeight="1">
      <c r="A109" s="69" t="s">
        <v>7</v>
      </c>
      <c r="B109" s="70"/>
      <c r="C109" s="70"/>
      <c r="D109" s="70"/>
      <c r="E109" s="70"/>
      <c r="F109" s="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9" s="30" customFormat="1" ht="27" customHeight="1">
      <c r="A110" s="7" t="s">
        <v>0</v>
      </c>
      <c r="B110" s="24" t="s">
        <v>1</v>
      </c>
      <c r="C110" s="25"/>
      <c r="D110" s="9" t="s">
        <v>5</v>
      </c>
      <c r="E110" s="8" t="s">
        <v>2</v>
      </c>
      <c r="F110" s="10" t="s">
        <v>3</v>
      </c>
      <c r="G110" s="1"/>
      <c r="H110" s="1"/>
      <c r="I110" s="1"/>
    </row>
    <row r="111" spans="1:9" s="30" customFormat="1" ht="24.75" customHeight="1">
      <c r="A111" s="77" t="s">
        <v>111</v>
      </c>
      <c r="B111" s="78"/>
      <c r="C111" s="49">
        <v>266458</v>
      </c>
      <c r="D111" s="53"/>
      <c r="E111" s="25"/>
      <c r="F111" s="54"/>
      <c r="G111" s="1"/>
      <c r="H111" s="1"/>
      <c r="I111" s="1"/>
    </row>
    <row r="112" spans="1:167" ht="19.5" customHeight="1">
      <c r="A112" s="74" t="s">
        <v>6</v>
      </c>
      <c r="B112" s="75"/>
      <c r="C112" s="11">
        <v>264860</v>
      </c>
      <c r="D112" s="11"/>
      <c r="E112" s="11">
        <f>SUM(E113:E127)</f>
        <v>128937.36</v>
      </c>
      <c r="F112" s="11">
        <f>C112-E112</f>
        <v>135922.64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ht="20.25" customHeight="1">
      <c r="A113" s="4">
        <v>1</v>
      </c>
      <c r="B113" s="21" t="s">
        <v>9</v>
      </c>
      <c r="C113" s="22"/>
      <c r="D113" s="12"/>
      <c r="E113" s="13">
        <f>130+4000+750+300</f>
        <v>5180</v>
      </c>
      <c r="F113" s="1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167" ht="27" customHeight="1">
      <c r="A114" s="4">
        <v>2</v>
      </c>
      <c r="B114" s="21" t="s">
        <v>11</v>
      </c>
      <c r="C114" s="22"/>
      <c r="D114" s="12"/>
      <c r="E114" s="13">
        <f>1387+327</f>
        <v>1714</v>
      </c>
      <c r="F114" s="1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:167" ht="22.5" customHeight="1">
      <c r="A115" s="4">
        <v>3</v>
      </c>
      <c r="B115" s="21" t="s">
        <v>10</v>
      </c>
      <c r="C115" s="22"/>
      <c r="D115" s="12">
        <f>79615+21730</f>
        <v>101345</v>
      </c>
      <c r="E115" s="13">
        <f>59615+20000+13730+8000</f>
        <v>101345</v>
      </c>
      <c r="F115" s="13">
        <f>D115-E115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ht="42.75" customHeight="1">
      <c r="A116" s="4">
        <v>4</v>
      </c>
      <c r="B116" s="21" t="s">
        <v>30</v>
      </c>
      <c r="C116" s="22"/>
      <c r="D116" s="12"/>
      <c r="E116" s="13">
        <f>8470+30+190+30+20+30+60+30+300+300+10+30+90+90+10+30+20+30+30+10+60+90+10+160+10+30+60+90+30+300+300+350+20+30+60+50+160+170+50+300+300+90+40+30+260+195+60+70+60+300+300+30+20+60+40+1200</f>
        <v>15195</v>
      </c>
      <c r="F116" s="1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37.5" customHeight="1">
      <c r="A117" s="4">
        <v>5</v>
      </c>
      <c r="B117" s="21" t="s">
        <v>24</v>
      </c>
      <c r="C117" s="22"/>
      <c r="D117" s="12">
        <v>1050</v>
      </c>
      <c r="E117" s="13">
        <v>1050</v>
      </c>
      <c r="F117" s="13">
        <f>D117-E117</f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2.75">
      <c r="A118" s="4">
        <v>6</v>
      </c>
      <c r="B118" s="21" t="s">
        <v>25</v>
      </c>
      <c r="C118" s="22"/>
      <c r="D118" s="12"/>
      <c r="E118" s="13">
        <f>6.99+20.21+65.77+162.32+226.21+193.25</f>
        <v>674.75</v>
      </c>
      <c r="F118" s="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ht="12.75">
      <c r="A119" s="4">
        <v>7</v>
      </c>
      <c r="B119" s="21" t="s">
        <v>14</v>
      </c>
      <c r="C119" s="22"/>
      <c r="D119" s="12"/>
      <c r="E119" s="13">
        <v>1650</v>
      </c>
      <c r="F119" s="13"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2.75">
      <c r="A120" s="4">
        <v>8</v>
      </c>
      <c r="B120" s="21" t="s">
        <v>17</v>
      </c>
      <c r="C120" s="22"/>
      <c r="D120" s="12"/>
      <c r="E120" s="13">
        <f>600+200</f>
        <v>800</v>
      </c>
      <c r="F120" s="13"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ht="12.75">
      <c r="A121" s="4">
        <v>9</v>
      </c>
      <c r="B121" s="21" t="s">
        <v>51</v>
      </c>
      <c r="C121" s="22"/>
      <c r="D121" s="12"/>
      <c r="E121" s="13">
        <v>481.11</v>
      </c>
      <c r="F121" s="13"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ht="12.75">
      <c r="A122" s="4">
        <v>10</v>
      </c>
      <c r="B122" s="21" t="s">
        <v>18</v>
      </c>
      <c r="C122" s="22"/>
      <c r="D122" s="12"/>
      <c r="E122" s="13">
        <v>400</v>
      </c>
      <c r="F122" s="13"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1:167" ht="12.75">
      <c r="A123" s="4">
        <v>11</v>
      </c>
      <c r="B123" s="21" t="s">
        <v>34</v>
      </c>
      <c r="C123" s="22"/>
      <c r="D123" s="12"/>
      <c r="E123" s="13">
        <v>250</v>
      </c>
      <c r="F123" s="1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1:167" ht="12.75">
      <c r="A124" s="4">
        <v>12</v>
      </c>
      <c r="B124" s="21" t="s">
        <v>19</v>
      </c>
      <c r="C124" s="22"/>
      <c r="D124" s="12"/>
      <c r="E124" s="13">
        <v>197.5</v>
      </c>
      <c r="F124" s="13"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1:167" ht="12.75" hidden="1">
      <c r="A125" s="4"/>
      <c r="B125" s="21"/>
      <c r="C125" s="22"/>
      <c r="D125" s="12"/>
      <c r="E125" s="13"/>
      <c r="F125" s="1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1:167" ht="12.75" hidden="1">
      <c r="A126" s="4"/>
      <c r="B126" s="21"/>
      <c r="C126" s="22"/>
      <c r="D126" s="12"/>
      <c r="E126" s="13"/>
      <c r="F126" s="1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1:167" ht="12.75" hidden="1">
      <c r="A127" s="4"/>
      <c r="B127" s="21"/>
      <c r="C127" s="22"/>
      <c r="D127" s="12"/>
      <c r="E127" s="13"/>
      <c r="F127" s="1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1:167" ht="12.75" hidden="1">
      <c r="A128" s="15"/>
      <c r="B128" s="16"/>
      <c r="C128" s="16"/>
      <c r="D128" s="17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1:167" ht="0.75" customHeight="1">
      <c r="A129" s="6"/>
      <c r="B129" s="6"/>
      <c r="C129" s="6"/>
      <c r="D129" s="6"/>
      <c r="E129" s="29"/>
      <c r="F129" s="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1:167" ht="22.5" customHeight="1">
      <c r="A130" s="69" t="s">
        <v>8</v>
      </c>
      <c r="B130" s="70"/>
      <c r="C130" s="70"/>
      <c r="D130" s="70"/>
      <c r="E130" s="70"/>
      <c r="F130" s="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1:167" ht="26.25" customHeight="1">
      <c r="A131" s="7" t="s">
        <v>0</v>
      </c>
      <c r="B131" s="24" t="s">
        <v>1</v>
      </c>
      <c r="C131" s="25"/>
      <c r="D131" s="9" t="s">
        <v>5</v>
      </c>
      <c r="E131" s="8" t="s">
        <v>2</v>
      </c>
      <c r="F131" s="10" t="s">
        <v>3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ht="21" customHeight="1">
      <c r="A132" s="77" t="s">
        <v>132</v>
      </c>
      <c r="B132" s="78"/>
      <c r="C132" s="49">
        <v>1054677</v>
      </c>
      <c r="D132" s="53"/>
      <c r="E132" s="25"/>
      <c r="F132" s="5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1:167" ht="15" customHeight="1">
      <c r="A133" s="74" t="s">
        <v>6</v>
      </c>
      <c r="B133" s="75"/>
      <c r="C133" s="11">
        <v>1051741</v>
      </c>
      <c r="D133" s="11"/>
      <c r="E133" s="11">
        <f>SUM(E134:E141)</f>
        <v>1011226.3</v>
      </c>
      <c r="F133" s="11">
        <f>C133-E133</f>
        <v>40514.69999999995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1:167" ht="20.25" customHeight="1">
      <c r="A134" s="4">
        <v>1</v>
      </c>
      <c r="B134" s="23" t="s">
        <v>37</v>
      </c>
      <c r="C134" s="22"/>
      <c r="D134" s="12">
        <v>13680</v>
      </c>
      <c r="E134" s="13">
        <f>2400+720+2400+2400+2400+2400+960</f>
        <v>13680</v>
      </c>
      <c r="F134" s="13">
        <f>D134-E134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1:167" ht="20.25" customHeight="1">
      <c r="A135" s="4">
        <v>2</v>
      </c>
      <c r="B135" s="21" t="s">
        <v>22</v>
      </c>
      <c r="C135" s="22"/>
      <c r="D135" s="12">
        <f>8279.04+7244.16+4139.52+9313.92+11383.68+10348.8+4139.52+13453.44+7244.16+13970.88+12936+4139.52+13453.44+11383.68+10348.8+1034.88+2069.76</f>
        <v>144883.2</v>
      </c>
      <c r="E135" s="13">
        <f>48410.12+18006.6+2691+6438.52+31046.4+3229+9903.68+11704.44+13453.44</f>
        <v>144883.2</v>
      </c>
      <c r="F135" s="13">
        <f>D135-E135</f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1:9" s="30" customFormat="1" ht="25.5" customHeight="1">
      <c r="A136" s="4">
        <v>3</v>
      </c>
      <c r="B136" s="21" t="s">
        <v>23</v>
      </c>
      <c r="C136" s="22"/>
      <c r="D136" s="12">
        <v>537675.54</v>
      </c>
      <c r="E136" s="13">
        <f>109280+34420+12441+10004.99+3354+6120+4938.2+27353+34048.78+5831+7499+12441+19080.48+2308.85+7500+12441+3324+4475+7499+10005+12441+5000+34419.99+4475+7499+10005+12441+12441+10005+7499+4475+34421+28070.27+7499+10004.98+2615</f>
        <v>537675.5399999999</v>
      </c>
      <c r="F136" s="13">
        <f>D136-E136</f>
        <v>0</v>
      </c>
      <c r="G136" s="1"/>
      <c r="H136" s="1"/>
      <c r="I136" s="1"/>
    </row>
    <row r="137" spans="1:167" ht="16.5" customHeight="1">
      <c r="A137" s="4">
        <v>4</v>
      </c>
      <c r="B137" s="21" t="s">
        <v>13</v>
      </c>
      <c r="C137" s="22"/>
      <c r="D137" s="12">
        <f>D136*26.2%+D135*23.1%</f>
        <v>174339.01068000004</v>
      </c>
      <c r="E137" s="13">
        <f>140870.99+33468.02</f>
        <v>174339.00999999998</v>
      </c>
      <c r="F137" s="13">
        <f>D137-E137</f>
        <v>0.0006800000555813313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1:167" ht="16.5" customHeight="1">
      <c r="A138" s="4">
        <v>5</v>
      </c>
      <c r="B138" s="21" t="s">
        <v>12</v>
      </c>
      <c r="C138" s="22"/>
      <c r="D138" s="12"/>
      <c r="E138" s="13">
        <f>4624.3+119+1183.5+591.75+170</f>
        <v>6688.55</v>
      </c>
      <c r="F138" s="13"/>
      <c r="G138" s="1"/>
      <c r="H138" s="2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1:167" ht="12" customHeight="1">
      <c r="A139" s="4">
        <v>6</v>
      </c>
      <c r="B139" s="21" t="s">
        <v>56</v>
      </c>
      <c r="C139" s="22"/>
      <c r="D139" s="12"/>
      <c r="E139" s="13">
        <f>9520+61200+63240</f>
        <v>133960</v>
      </c>
      <c r="F139" s="13"/>
      <c r="G139" s="1"/>
      <c r="H139" s="20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167" ht="12.75" hidden="1">
      <c r="A140" s="4">
        <v>7</v>
      </c>
      <c r="B140" s="27"/>
      <c r="C140" s="27"/>
      <c r="D140" s="12"/>
      <c r="E140" s="13"/>
      <c r="F140" s="13"/>
      <c r="G140" s="1"/>
      <c r="H140" s="1"/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1:167" ht="12.75" hidden="1">
      <c r="A141" s="4">
        <v>8</v>
      </c>
      <c r="B141" s="27"/>
      <c r="C141" s="27"/>
      <c r="D141" s="12"/>
      <c r="E141" s="13"/>
      <c r="F141" s="13"/>
      <c r="G141" s="1"/>
      <c r="H141" s="1"/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1:167" ht="0.75" customHeight="1">
      <c r="A142" s="15"/>
      <c r="B142" s="16"/>
      <c r="C142" s="16"/>
      <c r="D142" s="17"/>
      <c r="E142" s="18"/>
      <c r="F142" s="18"/>
      <c r="G142" s="1"/>
      <c r="H142" s="1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 hidden="1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1:167" ht="12.75">
      <c r="A144" s="68" t="s">
        <v>169</v>
      </c>
      <c r="B144" s="68"/>
      <c r="C144" s="14">
        <f>C133+C112+C99+C7</f>
        <v>56622500.870000005</v>
      </c>
      <c r="D144" s="3"/>
      <c r="E144" s="14">
        <f>E8+E112+E133+E99</f>
        <v>55908030.11363</v>
      </c>
      <c r="F144" s="14">
        <f>F133+F112+F8</f>
        <v>714470.7563700044</v>
      </c>
      <c r="G144" s="1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 hidden="1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6:167" ht="12.75">
      <c r="F147" s="6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7:167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7:167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7:167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7:167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7:167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7:167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7:167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7:167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7:167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7:167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7:167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7:167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7:167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7:167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7:167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7:167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7:167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7:167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7:167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7:167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7:167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7:167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7:167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7:167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7:167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7:167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7:167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7:167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7:167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7:167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7:167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7:167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7:167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7:167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7:167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7:167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7:167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7:167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7:167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7:167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7:167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7:167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7:167" ht="12.7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7:167" ht="12.7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7:167" ht="12.7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7:167" ht="12.7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7:167" ht="12.7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7:167" ht="12.7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7:167" ht="12.7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7:167" ht="12.7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7:167" ht="12.7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7:167" ht="12.7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7:167" ht="12.7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7:167" ht="12.7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7:167" ht="12.7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7:167" ht="12.7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7:167" ht="12.7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7:167" ht="12.7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7:167" ht="12.7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7:167" ht="12.7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7:167" ht="12.7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7:167" ht="12.7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7:167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7:167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7:167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7:167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7:167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7:167" ht="12.7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7:167" ht="12.7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7:167" ht="12.7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7:167" ht="12.7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  <row r="228" spans="7:167" ht="12.75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</row>
    <row r="229" spans="7:167" ht="12.75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</row>
    <row r="230" spans="7:167" ht="12.7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</row>
    <row r="231" spans="7:167" ht="12.75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</row>
    <row r="232" spans="7:167" ht="12.75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</row>
    <row r="233" spans="7:167" ht="12.75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</row>
    <row r="234" spans="7:167" ht="12.75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</row>
    <row r="235" spans="7:167" ht="12.75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</row>
    <row r="236" spans="7:167" ht="12.75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</row>
    <row r="237" spans="7:167" ht="12.75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</row>
    <row r="238" spans="7:167" ht="12.75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</row>
    <row r="239" spans="7:167" ht="12.75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</row>
    <row r="240" spans="7:167" ht="12.75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</row>
    <row r="241" spans="7:167" ht="12.75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</row>
    <row r="242" spans="7:167" ht="12.75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</row>
    <row r="243" spans="7:167" ht="12.75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</row>
    <row r="244" spans="7:167" ht="12.75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</row>
    <row r="245" spans="7:167" ht="12.75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</row>
    <row r="246" spans="7:167" ht="12.75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</row>
    <row r="247" spans="7:167" ht="12.75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</row>
    <row r="248" spans="7:167" ht="12.75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</row>
    <row r="249" spans="7:167" ht="12.7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</row>
    <row r="250" spans="7:167" ht="12.7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</row>
    <row r="251" spans="7:167" ht="12.75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</row>
    <row r="252" spans="7:167" ht="12.75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</row>
    <row r="253" spans="7:167" ht="12.75"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</row>
    <row r="254" spans="7:167" ht="12.75"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</row>
    <row r="255" spans="7:167" ht="12.75"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</row>
    <row r="256" spans="7:167" ht="12.75"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</row>
    <row r="257" spans="7:167" ht="12.75"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</row>
    <row r="258" spans="7:167" ht="12.75"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</row>
    <row r="259" spans="7:167" ht="12.75"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</row>
    <row r="260" spans="7:167" ht="12.75"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</row>
    <row r="261" spans="7:167" ht="12.75"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</row>
    <row r="262" spans="7:167" ht="12.75"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</row>
    <row r="263" spans="7:167" ht="12.75"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</row>
    <row r="264" spans="7:167" ht="12.75"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</row>
    <row r="265" spans="7:167" ht="12.75"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</row>
    <row r="266" spans="7:167" ht="12.75"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</row>
    <row r="267" spans="7:167" ht="12.75"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</row>
    <row r="268" spans="7:167" ht="12.75"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</row>
    <row r="269" spans="7:167" ht="12.75"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</row>
    <row r="270" spans="7:167" ht="12.75"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</row>
    <row r="271" spans="7:167" ht="12.75"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</row>
    <row r="272" spans="7:167" ht="12.75"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</row>
    <row r="273" spans="7:167" ht="12.75"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</row>
    <row r="274" spans="7:167" ht="12.75"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</row>
  </sheetData>
  <sheetProtection/>
  <mergeCells count="20">
    <mergeCell ref="A111:B111"/>
    <mergeCell ref="A1:F1"/>
    <mergeCell ref="A3:F3"/>
    <mergeCell ref="B4:C4"/>
    <mergeCell ref="D8:D9"/>
    <mergeCell ref="E8:E9"/>
    <mergeCell ref="F8:F9"/>
    <mergeCell ref="A5:B5"/>
    <mergeCell ref="A6:B6"/>
    <mergeCell ref="A7:B7"/>
    <mergeCell ref="A144:B144"/>
    <mergeCell ref="A109:F109"/>
    <mergeCell ref="A98:F98"/>
    <mergeCell ref="A133:B133"/>
    <mergeCell ref="H8:I8"/>
    <mergeCell ref="A132:B132"/>
    <mergeCell ref="A8:B9"/>
    <mergeCell ref="C8:C9"/>
    <mergeCell ref="A130:F130"/>
    <mergeCell ref="A112:B11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63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1.28125" style="0" customWidth="1"/>
    <col min="8" max="8" width="11.57421875" style="0" bestFit="1" customWidth="1"/>
    <col min="9" max="9" width="16.00390625" style="0" customWidth="1"/>
  </cols>
  <sheetData>
    <row r="1" spans="1:167" ht="12.75">
      <c r="A1" s="6"/>
      <c r="B1" s="6"/>
      <c r="C1" s="6"/>
      <c r="D1" s="6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30.75" customHeight="1">
      <c r="A2" s="69" t="s">
        <v>136</v>
      </c>
      <c r="B2" s="70"/>
      <c r="C2" s="70"/>
      <c r="D2" s="70"/>
      <c r="E2" s="70"/>
      <c r="F2" s="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26.25" customHeight="1">
      <c r="A3" s="7" t="s">
        <v>0</v>
      </c>
      <c r="B3" s="24" t="s">
        <v>1</v>
      </c>
      <c r="C3" s="25"/>
      <c r="D3" s="9" t="s">
        <v>5</v>
      </c>
      <c r="E3" s="8" t="s">
        <v>2</v>
      </c>
      <c r="F3" s="10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26.25" customHeight="1">
      <c r="A4" s="90" t="s">
        <v>128</v>
      </c>
      <c r="B4" s="90"/>
      <c r="C4" s="65">
        <v>1608630.78</v>
      </c>
      <c r="D4" s="53"/>
      <c r="E4" s="25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26.25" customHeight="1">
      <c r="A5" s="74" t="s">
        <v>6</v>
      </c>
      <c r="B5" s="75"/>
      <c r="C5" s="11">
        <v>1474665.49</v>
      </c>
      <c r="D5" s="11"/>
      <c r="E5" s="11">
        <f>SUM(E6:E34)</f>
        <v>1444437.91</v>
      </c>
      <c r="F5" s="11">
        <f>C5-E5</f>
        <v>30227.580000000075</v>
      </c>
      <c r="G5" s="1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9" s="30" customFormat="1" ht="42" customHeight="1">
      <c r="A6" s="4">
        <v>3</v>
      </c>
      <c r="B6" s="56" t="s">
        <v>129</v>
      </c>
      <c r="C6" s="22"/>
      <c r="D6" s="12">
        <v>846711.87</v>
      </c>
      <c r="E6" s="13">
        <v>846711.87</v>
      </c>
      <c r="F6" s="13">
        <f>D6-E6</f>
        <v>0</v>
      </c>
      <c r="G6" s="1"/>
      <c r="H6" s="1"/>
      <c r="I6" s="1"/>
    </row>
    <row r="7" spans="1:167" ht="16.5" customHeight="1">
      <c r="A7" s="4">
        <v>4</v>
      </c>
      <c r="B7" s="21" t="s">
        <v>13</v>
      </c>
      <c r="C7" s="22"/>
      <c r="D7" s="12">
        <f>D6*20.2%</f>
        <v>171035.79773999998</v>
      </c>
      <c r="E7" s="13">
        <v>171035.8</v>
      </c>
      <c r="F7" s="13">
        <f>D7-E7</f>
        <v>-0.0022600000083912164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6.5" customHeight="1">
      <c r="A8" s="4">
        <v>5</v>
      </c>
      <c r="B8" s="56" t="s">
        <v>113</v>
      </c>
      <c r="C8" s="22"/>
      <c r="D8" s="12"/>
      <c r="E8" s="13">
        <v>439.23</v>
      </c>
      <c r="F8" s="13"/>
      <c r="G8" s="1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2.75">
      <c r="A9" s="4">
        <v>6</v>
      </c>
      <c r="B9" s="21" t="s">
        <v>56</v>
      </c>
      <c r="C9" s="22"/>
      <c r="D9" s="12">
        <v>310080</v>
      </c>
      <c r="E9" s="13">
        <v>310080</v>
      </c>
      <c r="F9" s="13">
        <f>D9-E9</f>
        <v>0</v>
      </c>
      <c r="G9" s="1"/>
      <c r="H9" s="20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25.5">
      <c r="A10" s="4">
        <v>7</v>
      </c>
      <c r="B10" s="27" t="s">
        <v>67</v>
      </c>
      <c r="C10" s="27"/>
      <c r="D10" s="12">
        <v>1650</v>
      </c>
      <c r="E10" s="13">
        <v>1650</v>
      </c>
      <c r="F10" s="13">
        <f>D10-E10</f>
        <v>0</v>
      </c>
      <c r="G10" s="1"/>
      <c r="H10" s="1"/>
      <c r="I10" s="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25.5">
      <c r="A11" s="4">
        <v>8</v>
      </c>
      <c r="B11" s="27" t="s">
        <v>68</v>
      </c>
      <c r="C11" s="27"/>
      <c r="D11" s="12">
        <v>2750</v>
      </c>
      <c r="E11" s="13">
        <v>2750</v>
      </c>
      <c r="F11" s="13">
        <f>D11-E11</f>
        <v>0</v>
      </c>
      <c r="G11" s="1"/>
      <c r="H11" s="1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25.5">
      <c r="A12" s="4">
        <v>9</v>
      </c>
      <c r="B12" s="27" t="s">
        <v>78</v>
      </c>
      <c r="C12" s="27"/>
      <c r="D12" s="12">
        <v>5000</v>
      </c>
      <c r="E12" s="13">
        <v>5000</v>
      </c>
      <c r="F12" s="13">
        <f>D12-E12</f>
        <v>0</v>
      </c>
      <c r="G12" s="1"/>
      <c r="H12" s="1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2.75">
      <c r="A13" s="44"/>
      <c r="B13" s="27" t="s">
        <v>135</v>
      </c>
      <c r="C13" s="27"/>
      <c r="D13" s="12"/>
      <c r="E13" s="13">
        <v>8358.99</v>
      </c>
      <c r="F13" s="13"/>
      <c r="G13" s="1"/>
      <c r="H13" s="1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38.25">
      <c r="A14" s="15"/>
      <c r="B14" s="27" t="s">
        <v>30</v>
      </c>
      <c r="C14" s="27"/>
      <c r="D14" s="12">
        <f>14213.19-264</f>
        <v>13949.19</v>
      </c>
      <c r="E14" s="13">
        <v>13949.19</v>
      </c>
      <c r="F14" s="13">
        <f>D14-E14</f>
        <v>0</v>
      </c>
      <c r="G14" s="1"/>
      <c r="H14" s="1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2.75">
      <c r="A15" s="15"/>
      <c r="B15" s="26" t="s">
        <v>103</v>
      </c>
      <c r="C15" s="27"/>
      <c r="D15" s="12">
        <v>138.93</v>
      </c>
      <c r="E15" s="13">
        <v>138.93</v>
      </c>
      <c r="F15" s="13">
        <f>D15-E15</f>
        <v>0</v>
      </c>
      <c r="G15" s="1"/>
      <c r="H15" s="1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2.75">
      <c r="A16" s="15"/>
      <c r="B16" s="26" t="s">
        <v>104</v>
      </c>
      <c r="C16" s="27"/>
      <c r="D16" s="12">
        <f>1250+570</f>
        <v>1820</v>
      </c>
      <c r="E16" s="13">
        <v>1820</v>
      </c>
      <c r="F16" s="13">
        <f>D16-E16</f>
        <v>0</v>
      </c>
      <c r="G16" s="1"/>
      <c r="H16" s="1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2.75">
      <c r="A17" s="15"/>
      <c r="B17" s="33" t="s">
        <v>134</v>
      </c>
      <c r="C17" s="27"/>
      <c r="D17" s="12">
        <f>2149-300</f>
        <v>1849</v>
      </c>
      <c r="E17" s="13">
        <v>1849</v>
      </c>
      <c r="F17" s="13"/>
      <c r="G17" s="1"/>
      <c r="H17" s="1"/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25.5">
      <c r="A18" s="15"/>
      <c r="B18" s="33" t="s">
        <v>137</v>
      </c>
      <c r="C18" s="27"/>
      <c r="D18" s="12">
        <v>5000</v>
      </c>
      <c r="E18" s="13">
        <v>5000</v>
      </c>
      <c r="F18" s="13"/>
      <c r="G18" s="1"/>
      <c r="H18" s="1"/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2.75">
      <c r="A19" s="15"/>
      <c r="B19" s="33" t="s">
        <v>138</v>
      </c>
      <c r="C19" s="27"/>
      <c r="D19" s="12"/>
      <c r="E19" s="13">
        <v>4500</v>
      </c>
      <c r="F19" s="13"/>
      <c r="G19" s="1"/>
      <c r="H19" s="1"/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2.75">
      <c r="A20" s="15"/>
      <c r="B20" s="33" t="s">
        <v>139</v>
      </c>
      <c r="C20" s="27"/>
      <c r="D20" s="12"/>
      <c r="E20" s="13">
        <v>200</v>
      </c>
      <c r="F20" s="13"/>
      <c r="G20" s="1"/>
      <c r="H20" s="1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2.75">
      <c r="A21" s="15"/>
      <c r="B21" s="33" t="s">
        <v>140</v>
      </c>
      <c r="C21" s="27"/>
      <c r="D21" s="12"/>
      <c r="E21" s="13">
        <v>90</v>
      </c>
      <c r="F21" s="13"/>
      <c r="G21" s="1"/>
      <c r="H21" s="1"/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2.75">
      <c r="A22" s="15"/>
      <c r="B22" s="33" t="s">
        <v>146</v>
      </c>
      <c r="C22" s="27"/>
      <c r="D22" s="12"/>
      <c r="E22" s="13">
        <v>6990</v>
      </c>
      <c r="F22" s="13"/>
      <c r="G22" s="1"/>
      <c r="H22" s="1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2.75">
      <c r="A23" s="15"/>
      <c r="B23" s="33" t="s">
        <v>147</v>
      </c>
      <c r="C23" s="27"/>
      <c r="D23" s="12"/>
      <c r="E23" s="13">
        <v>1302.86</v>
      </c>
      <c r="F23" s="13"/>
      <c r="G23" s="1"/>
      <c r="H23" s="1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2.75">
      <c r="A24" s="15"/>
      <c r="B24" s="33" t="s">
        <v>161</v>
      </c>
      <c r="C24" s="27"/>
      <c r="D24" s="12"/>
      <c r="E24" s="13">
        <v>327</v>
      </c>
      <c r="F24" s="13"/>
      <c r="G24" s="1"/>
      <c r="H24" s="1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2.75">
      <c r="A25" s="15"/>
      <c r="B25" s="27" t="s">
        <v>149</v>
      </c>
      <c r="C25" s="27"/>
      <c r="D25" s="12"/>
      <c r="E25" s="13">
        <v>4743.3</v>
      </c>
      <c r="F25" s="13"/>
      <c r="G25" s="1"/>
      <c r="H25" s="1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2.75">
      <c r="A26" s="15"/>
      <c r="B26" s="27" t="s">
        <v>150</v>
      </c>
      <c r="C26" s="27"/>
      <c r="D26" s="12"/>
      <c r="E26" s="13">
        <v>2160</v>
      </c>
      <c r="F26" s="13"/>
      <c r="G26" s="1"/>
      <c r="H26" s="1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2.75">
      <c r="A27" s="15"/>
      <c r="B27" s="27" t="s">
        <v>151</v>
      </c>
      <c r="C27" s="27"/>
      <c r="D27" s="12"/>
      <c r="E27" s="13">
        <v>9529</v>
      </c>
      <c r="F27" s="13"/>
      <c r="G27" s="1"/>
      <c r="H27" s="1"/>
      <c r="I27" s="1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2.75">
      <c r="A28" s="15"/>
      <c r="B28" s="27" t="s">
        <v>152</v>
      </c>
      <c r="C28" s="27"/>
      <c r="D28" s="12"/>
      <c r="E28" s="13">
        <v>1358.84</v>
      </c>
      <c r="F28" s="13"/>
      <c r="G28" s="1"/>
      <c r="H28" s="1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2.75">
      <c r="A29" s="15"/>
      <c r="B29" s="27" t="s">
        <v>154</v>
      </c>
      <c r="C29" s="27"/>
      <c r="D29" s="12"/>
      <c r="E29" s="13">
        <v>1999</v>
      </c>
      <c r="F29" s="13"/>
      <c r="G29" s="1"/>
      <c r="H29" s="1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2.75">
      <c r="A30" s="15"/>
      <c r="B30" s="27" t="s">
        <v>155</v>
      </c>
      <c r="C30" s="27"/>
      <c r="D30" s="12"/>
      <c r="E30" s="13">
        <v>2970</v>
      </c>
      <c r="F30" s="13"/>
      <c r="G30" s="1"/>
      <c r="H30" s="1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2.75">
      <c r="A31" s="15"/>
      <c r="B31" s="27" t="s">
        <v>148</v>
      </c>
      <c r="C31" s="27"/>
      <c r="D31" s="12"/>
      <c r="E31" s="13">
        <v>7634.9</v>
      </c>
      <c r="F31" s="13"/>
      <c r="G31" s="1"/>
      <c r="H31" s="1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2.75">
      <c r="A32" s="15"/>
      <c r="B32" s="27" t="s">
        <v>153</v>
      </c>
      <c r="C32" s="27"/>
      <c r="D32" s="12"/>
      <c r="E32" s="13">
        <v>1750</v>
      </c>
      <c r="F32" s="13"/>
      <c r="G32" s="1"/>
      <c r="H32" s="1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2.75">
      <c r="A33" s="15"/>
      <c r="B33" s="33" t="s">
        <v>133</v>
      </c>
      <c r="C33" s="27"/>
      <c r="D33" s="12">
        <v>12600</v>
      </c>
      <c r="E33" s="13">
        <v>12600</v>
      </c>
      <c r="F33" s="13"/>
      <c r="G33" s="1"/>
      <c r="H33" s="1"/>
      <c r="I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2.75">
      <c r="A34" s="15"/>
      <c r="B34" s="26" t="s">
        <v>105</v>
      </c>
      <c r="C34" s="27"/>
      <c r="D34" s="12">
        <v>17500</v>
      </c>
      <c r="E34" s="13">
        <v>17500</v>
      </c>
      <c r="F34" s="13">
        <f>D34-E34</f>
        <v>0</v>
      </c>
      <c r="G34" s="1"/>
      <c r="H34" s="1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2.75">
      <c r="A35" s="15"/>
      <c r="C35" s="16"/>
      <c r="D35" s="17"/>
      <c r="F35" s="18"/>
      <c r="G35" s="1"/>
      <c r="H35" s="1"/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7:167" ht="12.7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7:167" ht="12.7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7:167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7:167" ht="12.7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7:167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7:167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7:167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7:167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7:16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7:16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7:16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7:167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7:167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7:167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7:167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7:167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7:167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7:167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7:167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7:167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7:167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7:167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7:167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7:167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7:167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7:167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7:167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7:167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7:167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7:167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7:167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7:167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7:167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7:167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7:167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7:167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7:167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7:167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7:167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7:167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7:167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7:167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7:167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7:167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7:167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7:167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7:167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7:167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7:167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7:167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7:167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7:167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7:167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7:167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7:167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7:167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7:167" ht="12.7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7:167" ht="12.7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7:167" ht="12.7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7:167" ht="12.7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7:167" ht="12.7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7:167" ht="12.7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7:167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7:167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7:167" ht="12.7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7:167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7:167" ht="12.7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7:167" ht="12.7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7:167" ht="12.7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7:167" ht="12.7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7:167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7:167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7:167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7:167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7:167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7:167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7:167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7:167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7:167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7:167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7:167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7:167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7:167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7:167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7:167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7:167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7:167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7:167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7:167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7:167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7:167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7:167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7:167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7:167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</sheetData>
  <sheetProtection/>
  <mergeCells count="3">
    <mergeCell ref="A4:B4"/>
    <mergeCell ref="A5:B5"/>
    <mergeCell ref="A2:F2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4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1.28125" style="0" customWidth="1"/>
    <col min="8" max="8" width="11.57421875" style="0" bestFit="1" customWidth="1"/>
    <col min="9" max="9" width="16.00390625" style="0" customWidth="1"/>
  </cols>
  <sheetData>
    <row r="1" spans="1:167" ht="12.75">
      <c r="A1" s="6"/>
      <c r="B1" s="6"/>
      <c r="C1" s="6"/>
      <c r="D1" s="6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30.75" customHeight="1">
      <c r="A2" s="69" t="s">
        <v>163</v>
      </c>
      <c r="B2" s="70"/>
      <c r="C2" s="70"/>
      <c r="D2" s="70"/>
      <c r="E2" s="70"/>
      <c r="F2" s="7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26.25" customHeight="1">
      <c r="A3" s="7" t="s">
        <v>0</v>
      </c>
      <c r="B3" s="24" t="s">
        <v>1</v>
      </c>
      <c r="C3" s="25"/>
      <c r="D3" s="9" t="s">
        <v>5</v>
      </c>
      <c r="E3" s="8" t="s">
        <v>2</v>
      </c>
      <c r="F3" s="10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26.25" customHeight="1">
      <c r="A4" s="90" t="s">
        <v>128</v>
      </c>
      <c r="B4" s="90"/>
      <c r="C4" s="65">
        <v>0</v>
      </c>
      <c r="D4" s="53"/>
      <c r="E4" s="25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26.25" customHeight="1">
      <c r="A5" s="74" t="s">
        <v>6</v>
      </c>
      <c r="B5" s="75"/>
      <c r="C5" s="11">
        <v>0</v>
      </c>
      <c r="D5" s="11"/>
      <c r="E5" s="11">
        <f>SUM(E6:E15)</f>
        <v>54462.07</v>
      </c>
      <c r="F5" s="11">
        <f>C5-E5</f>
        <v>-54462.07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9" s="30" customFormat="1" ht="42" customHeight="1">
      <c r="A6" s="4">
        <v>3</v>
      </c>
      <c r="B6" s="56" t="s">
        <v>129</v>
      </c>
      <c r="C6" s="22"/>
      <c r="D6" s="12"/>
      <c r="E6" s="13">
        <v>48320.07</v>
      </c>
      <c r="F6" s="13">
        <f>D6-E6</f>
        <v>-48320.07</v>
      </c>
      <c r="G6" s="1"/>
      <c r="H6" s="1"/>
      <c r="I6" s="1"/>
    </row>
    <row r="7" spans="1:167" ht="16.5" customHeight="1">
      <c r="A7" s="4">
        <v>4</v>
      </c>
      <c r="B7" s="21" t="s">
        <v>13</v>
      </c>
      <c r="C7" s="22"/>
      <c r="D7" s="12"/>
      <c r="E7" s="13">
        <v>0</v>
      </c>
      <c r="F7" s="13">
        <f>D7-E7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6.5" customHeight="1">
      <c r="A8" s="4">
        <v>5</v>
      </c>
      <c r="B8" s="56" t="s">
        <v>113</v>
      </c>
      <c r="C8" s="22"/>
      <c r="D8" s="12"/>
      <c r="E8" s="13">
        <v>300</v>
      </c>
      <c r="F8" s="13"/>
      <c r="G8" s="1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25.5">
      <c r="A9" s="4">
        <v>7</v>
      </c>
      <c r="B9" s="27" t="s">
        <v>67</v>
      </c>
      <c r="C9" s="27"/>
      <c r="D9" s="12"/>
      <c r="E9" s="13">
        <v>2000</v>
      </c>
      <c r="F9" s="13">
        <f>D9-E9</f>
        <v>-2000</v>
      </c>
      <c r="G9" s="1"/>
      <c r="H9" s="1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25.5">
      <c r="A10" s="4">
        <v>8</v>
      </c>
      <c r="B10" s="27" t="s">
        <v>68</v>
      </c>
      <c r="C10" s="27"/>
      <c r="D10" s="12"/>
      <c r="E10" s="13">
        <v>2750</v>
      </c>
      <c r="F10" s="13">
        <f>D10-E10</f>
        <v>-2750</v>
      </c>
      <c r="G10" s="1"/>
      <c r="H10" s="1"/>
      <c r="I10" s="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2.75">
      <c r="A11" s="44"/>
      <c r="B11" s="27" t="s">
        <v>135</v>
      </c>
      <c r="C11" s="27"/>
      <c r="D11" s="12"/>
      <c r="E11" s="13">
        <v>0</v>
      </c>
      <c r="F11" s="13"/>
      <c r="G11" s="1"/>
      <c r="H11" s="1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38.25">
      <c r="A12" s="15"/>
      <c r="B12" s="27" t="s">
        <v>30</v>
      </c>
      <c r="C12" s="27"/>
      <c r="D12" s="12"/>
      <c r="E12" s="13">
        <v>1092</v>
      </c>
      <c r="F12" s="13">
        <f>D12-E12</f>
        <v>-1092</v>
      </c>
      <c r="G12" s="1"/>
      <c r="H12" s="1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2.75">
      <c r="A13" s="15"/>
      <c r="B13" s="26" t="s">
        <v>104</v>
      </c>
      <c r="C13" s="27"/>
      <c r="D13" s="12"/>
      <c r="E13" s="13">
        <v>0</v>
      </c>
      <c r="F13" s="13">
        <f>D13-E13</f>
        <v>0</v>
      </c>
      <c r="G13" s="1"/>
      <c r="H13" s="1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2.75">
      <c r="A14" s="15"/>
      <c r="B14" s="33" t="s">
        <v>134</v>
      </c>
      <c r="C14" s="27"/>
      <c r="D14" s="12"/>
      <c r="E14" s="13">
        <v>0</v>
      </c>
      <c r="F14" s="13"/>
      <c r="G14" s="1"/>
      <c r="H14" s="1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2.75">
      <c r="A15" s="15"/>
      <c r="B15" s="26" t="s">
        <v>105</v>
      </c>
      <c r="C15" s="27"/>
      <c r="D15" s="12"/>
      <c r="E15" s="13">
        <v>0</v>
      </c>
      <c r="F15" s="13">
        <f>D15-E15</f>
        <v>0</v>
      </c>
      <c r="G15" s="1"/>
      <c r="H15" s="1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2.75">
      <c r="A16" s="15"/>
      <c r="C16" s="16"/>
      <c r="D16" s="17"/>
      <c r="F16" s="18"/>
      <c r="G16" s="1"/>
      <c r="H16" s="1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7:167" ht="12.75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7:167" ht="12.7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7:167" ht="12.7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7:167" ht="12.75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7:167" ht="12.7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7:167" ht="12.7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7:167" ht="12.75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7:167" ht="12.7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7:167" ht="12.75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7:167" ht="12.7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7:167" ht="12.7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7:167" ht="12.7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7:167" ht="12.7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7:167" ht="12.7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7:167" ht="12.7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7:167" ht="12.7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7:167" ht="12.7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7:167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7:167" ht="12.7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7:167" ht="12.7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7:167" ht="12.7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7:167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7:167" ht="12.7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7:167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7:167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7:167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7:167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7:16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7:16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7:16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7:167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7:167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7:167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7:167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7:167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7:167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7:167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7:167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7:167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7:167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7:167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7:167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7:167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7:167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7:167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7:167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7:167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7:167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7:167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7:167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7:167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7:167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7:167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7:167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7:167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7:167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7:167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7:167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7:167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7:167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7:167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7:167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7:167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7:167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7:167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7:167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7:167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7:167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7:167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7:167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7:167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7:167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7:167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7:167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7:167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7:167" ht="12.7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7:167" ht="12.7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7:167" ht="12.7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7:167" ht="12.7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7:167" ht="12.7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7:167" ht="12.7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7:167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7:167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7:167" ht="12.7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7:167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7:167" ht="12.7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7:167" ht="12.7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7:167" ht="12.7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7:167" ht="12.7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7:167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7:167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7:167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7:167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7:167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7:167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7:167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7:167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7:167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7:167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7:167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7:167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7:167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7:167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7:167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7:167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</sheetData>
  <sheetProtection/>
  <mergeCells count="3">
    <mergeCell ref="A4:B4"/>
    <mergeCell ref="A5:B5"/>
    <mergeCell ref="A2:F2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A41" sqref="A41"/>
    </sheetView>
  </sheetViews>
  <sheetFormatPr defaultColWidth="9.140625" defaultRowHeight="12.75"/>
  <cols>
    <col min="1" max="2" width="20.7109375" style="0" customWidth="1"/>
    <col min="3" max="3" width="22.57421875" style="0" customWidth="1"/>
    <col min="4" max="4" width="19.57421875" style="0" customWidth="1"/>
    <col min="5" max="5" width="29.8515625" style="0" customWidth="1"/>
    <col min="8" max="8" width="11.7109375" style="0" bestFit="1" customWidth="1"/>
  </cols>
  <sheetData>
    <row r="1" spans="1:5" ht="38.25" customHeight="1">
      <c r="A1" s="94" t="s">
        <v>164</v>
      </c>
      <c r="B1" s="95"/>
      <c r="C1" s="95"/>
      <c r="D1" s="95"/>
      <c r="E1" s="96"/>
    </row>
    <row r="2" spans="1:5" ht="12.75">
      <c r="A2" s="91" t="s">
        <v>117</v>
      </c>
      <c r="B2" s="92"/>
      <c r="C2" s="92"/>
      <c r="D2" s="92"/>
      <c r="E2" s="93"/>
    </row>
    <row r="3" spans="1:3" ht="12.75">
      <c r="A3" s="2"/>
      <c r="B3" s="2"/>
      <c r="C3" s="2"/>
    </row>
    <row r="4" spans="1:5" ht="25.5">
      <c r="A4" s="58" t="s">
        <v>115</v>
      </c>
      <c r="B4" s="58" t="s">
        <v>123</v>
      </c>
      <c r="C4" s="59" t="s">
        <v>116</v>
      </c>
      <c r="D4" s="58" t="s">
        <v>118</v>
      </c>
      <c r="E4" s="60" t="s">
        <v>119</v>
      </c>
    </row>
    <row r="5" spans="1:5" ht="24.75" customHeight="1">
      <c r="A5" s="61">
        <v>3234</v>
      </c>
      <c r="B5" s="67">
        <v>3234</v>
      </c>
      <c r="C5" s="62">
        <v>3234</v>
      </c>
      <c r="D5" s="61">
        <v>2352</v>
      </c>
      <c r="E5" s="61">
        <f>C5-D5</f>
        <v>882</v>
      </c>
    </row>
    <row r="6" spans="1:5" ht="12.75">
      <c r="A6" s="51"/>
      <c r="B6" s="51"/>
      <c r="C6" s="6"/>
      <c r="E6" s="57"/>
    </row>
    <row r="7" spans="1:5" ht="12.75">
      <c r="A7" s="91" t="s">
        <v>120</v>
      </c>
      <c r="B7" s="92"/>
      <c r="C7" s="92"/>
      <c r="D7" s="92"/>
      <c r="E7" s="93"/>
    </row>
    <row r="8" spans="1:3" ht="12.75">
      <c r="A8" s="2"/>
      <c r="B8" s="2"/>
      <c r="C8" s="2"/>
    </row>
    <row r="9" spans="1:8" ht="25.5">
      <c r="A9" s="58" t="s">
        <v>115</v>
      </c>
      <c r="B9" s="58" t="s">
        <v>123</v>
      </c>
      <c r="C9" s="59" t="s">
        <v>116</v>
      </c>
      <c r="D9" s="58" t="s">
        <v>118</v>
      </c>
      <c r="E9" s="60" t="s">
        <v>119</v>
      </c>
      <c r="H9" s="66"/>
    </row>
    <row r="10" spans="1:5" ht="19.5" customHeight="1">
      <c r="A10" s="61">
        <v>56320.46</v>
      </c>
      <c r="B10" s="67">
        <f>56320.45+19305</f>
        <v>75625.45</v>
      </c>
      <c r="C10" s="62">
        <v>55610.09</v>
      </c>
      <c r="D10" s="61">
        <v>43215.33</v>
      </c>
      <c r="E10" s="61">
        <f>C10-D10</f>
        <v>12394.759999999995</v>
      </c>
    </row>
    <row r="12" spans="1:5" ht="12.75">
      <c r="A12" s="91" t="s">
        <v>121</v>
      </c>
      <c r="B12" s="92"/>
      <c r="C12" s="92"/>
      <c r="D12" s="92"/>
      <c r="E12" s="93"/>
    </row>
    <row r="13" spans="1:8" ht="12.75">
      <c r="A13" s="2"/>
      <c r="B13" s="2"/>
      <c r="C13" s="2"/>
      <c r="H13" s="66"/>
    </row>
    <row r="14" spans="1:8" ht="25.5">
      <c r="A14" s="58" t="s">
        <v>115</v>
      </c>
      <c r="B14" s="58" t="s">
        <v>123</v>
      </c>
      <c r="C14" s="59" t="s">
        <v>116</v>
      </c>
      <c r="D14" s="58" t="s">
        <v>118</v>
      </c>
      <c r="E14" s="60" t="s">
        <v>119</v>
      </c>
      <c r="H14" s="66"/>
    </row>
    <row r="15" spans="1:5" ht="12.75">
      <c r="A15" s="61">
        <v>1593</v>
      </c>
      <c r="B15" s="67">
        <v>1593</v>
      </c>
      <c r="C15" s="62">
        <v>1593</v>
      </c>
      <c r="D15" s="61">
        <v>1242</v>
      </c>
      <c r="E15" s="61">
        <f>C15-D15</f>
        <v>351</v>
      </c>
    </row>
    <row r="17" spans="1:5" ht="12.75">
      <c r="A17" s="91" t="s">
        <v>122</v>
      </c>
      <c r="B17" s="92"/>
      <c r="C17" s="92"/>
      <c r="D17" s="92"/>
      <c r="E17" s="93"/>
    </row>
    <row r="18" spans="1:3" ht="12.75">
      <c r="A18" s="2"/>
      <c r="B18" s="2"/>
      <c r="C18" s="2"/>
    </row>
    <row r="19" spans="1:5" ht="25.5">
      <c r="A19" s="58" t="s">
        <v>115</v>
      </c>
      <c r="B19" s="58" t="s">
        <v>123</v>
      </c>
      <c r="C19" s="59" t="s">
        <v>116</v>
      </c>
      <c r="D19" s="58" t="s">
        <v>118</v>
      </c>
      <c r="E19" s="60" t="s">
        <v>119</v>
      </c>
    </row>
    <row r="20" spans="1:5" ht="12.75">
      <c r="A20" s="61">
        <v>51590.35</v>
      </c>
      <c r="B20" s="67">
        <v>51590.35</v>
      </c>
      <c r="C20" s="62">
        <v>51638.38</v>
      </c>
      <c r="D20" s="61">
        <v>39604.79</v>
      </c>
      <c r="E20" s="61">
        <f>C20-D20</f>
        <v>12033.589999999997</v>
      </c>
    </row>
    <row r="22" spans="1:5" ht="12.75">
      <c r="A22" s="91" t="s">
        <v>124</v>
      </c>
      <c r="B22" s="92"/>
      <c r="C22" s="92"/>
      <c r="D22" s="92"/>
      <c r="E22" s="93"/>
    </row>
    <row r="23" spans="1:3" ht="12.75">
      <c r="A23" s="2"/>
      <c r="B23" s="2"/>
      <c r="C23" s="2"/>
    </row>
    <row r="24" spans="1:5" ht="25.5">
      <c r="A24" s="58" t="s">
        <v>115</v>
      </c>
      <c r="B24" s="58" t="s">
        <v>123</v>
      </c>
      <c r="C24" s="59" t="s">
        <v>116</v>
      </c>
      <c r="D24" s="58" t="s">
        <v>118</v>
      </c>
      <c r="E24" s="60" t="s">
        <v>119</v>
      </c>
    </row>
    <row r="25" spans="1:5" ht="12.75">
      <c r="A25" s="61">
        <v>87799.09</v>
      </c>
      <c r="B25" s="67">
        <v>87799.09</v>
      </c>
      <c r="C25" s="62">
        <v>69350.26</v>
      </c>
      <c r="D25" s="61">
        <v>67718.29</v>
      </c>
      <c r="E25" s="61">
        <f>C25-D25</f>
        <v>1631.9700000000012</v>
      </c>
    </row>
    <row r="26" spans="1:8" ht="12.75">
      <c r="A26" s="55"/>
      <c r="B26" s="1"/>
      <c r="C26" s="1"/>
      <c r="D26" s="1"/>
      <c r="E26" s="1"/>
      <c r="H26" s="66"/>
    </row>
    <row r="27" spans="1:5" ht="12.75">
      <c r="A27" s="91" t="s">
        <v>125</v>
      </c>
      <c r="B27" s="92"/>
      <c r="C27" s="92"/>
      <c r="D27" s="92"/>
      <c r="E27" s="93"/>
    </row>
    <row r="28" spans="1:3" ht="12.75">
      <c r="A28" s="2"/>
      <c r="B28" s="2"/>
      <c r="C28" s="2"/>
    </row>
    <row r="29" spans="1:5" ht="25.5">
      <c r="A29" s="58" t="s">
        <v>115</v>
      </c>
      <c r="B29" s="58" t="s">
        <v>123</v>
      </c>
      <c r="C29" s="59" t="s">
        <v>116</v>
      </c>
      <c r="D29" s="58" t="s">
        <v>118</v>
      </c>
      <c r="E29" s="60" t="s">
        <v>119</v>
      </c>
    </row>
    <row r="30" spans="1:5" ht="12.75">
      <c r="A30" s="61">
        <v>2353118.22</v>
      </c>
      <c r="B30" s="67">
        <v>2353118.22</v>
      </c>
      <c r="C30" s="62">
        <f>2167703.86+28693.16</f>
        <v>2196397.02</v>
      </c>
      <c r="D30" s="61">
        <v>1892909.95</v>
      </c>
      <c r="E30" s="61">
        <f>C30-D30</f>
        <v>303487.07000000007</v>
      </c>
    </row>
    <row r="32" spans="1:5" ht="12.75">
      <c r="A32" s="91" t="s">
        <v>126</v>
      </c>
      <c r="B32" s="92"/>
      <c r="C32" s="92"/>
      <c r="D32" s="92"/>
      <c r="E32" s="93"/>
    </row>
    <row r="33" spans="1:3" ht="12.75">
      <c r="A33" s="2"/>
      <c r="B33" s="2"/>
      <c r="C33" s="2"/>
    </row>
    <row r="34" spans="1:5" ht="25.5">
      <c r="A34" s="58" t="s">
        <v>115</v>
      </c>
      <c r="B34" s="58" t="s">
        <v>123</v>
      </c>
      <c r="C34" s="59" t="s">
        <v>116</v>
      </c>
      <c r="D34" s="58" t="s">
        <v>118</v>
      </c>
      <c r="E34" s="60" t="s">
        <v>119</v>
      </c>
    </row>
    <row r="35" spans="1:6" ht="12.75">
      <c r="A35" s="61">
        <v>122323.87</v>
      </c>
      <c r="B35" s="67">
        <v>122323.87</v>
      </c>
      <c r="C35" s="64">
        <v>76459.87</v>
      </c>
      <c r="D35" s="61">
        <v>72802.2</v>
      </c>
      <c r="E35" s="61">
        <f>C35-D35</f>
        <v>3657.6699999999983</v>
      </c>
      <c r="F35" s="63" t="s">
        <v>127</v>
      </c>
    </row>
    <row r="40" spans="1:5" ht="12.75">
      <c r="A40" s="66">
        <f>A5+A10+A15+A20+A25+A30+A35</f>
        <v>2675978.99</v>
      </c>
      <c r="B40" s="66">
        <f>B35+B30+B25+B20+B15</f>
        <v>2616424.5300000003</v>
      </c>
      <c r="C40" s="66">
        <f>C35+C30+C25+C20+C15</f>
        <v>2395438.53</v>
      </c>
      <c r="D40" s="66">
        <f>D35+D30+D25+D20+D15+D10+D5</f>
        <v>2119844.56</v>
      </c>
      <c r="E40" s="66">
        <f>E35+E30+E25+E20+E15</f>
        <v>321161.30000000005</v>
      </c>
    </row>
    <row r="42" ht="12.75">
      <c r="E42" s="66">
        <f>B40-D40</f>
        <v>496579.9700000002</v>
      </c>
    </row>
  </sheetData>
  <sheetProtection/>
  <mergeCells count="8">
    <mergeCell ref="A27:E27"/>
    <mergeCell ref="A32:E32"/>
    <mergeCell ref="A2:E2"/>
    <mergeCell ref="A1:E1"/>
    <mergeCell ref="A7:E7"/>
    <mergeCell ref="A12:E12"/>
    <mergeCell ref="A17:E17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Анджей</cp:lastModifiedBy>
  <cp:lastPrinted>2013-02-15T16:28:43Z</cp:lastPrinted>
  <dcterms:created xsi:type="dcterms:W3CDTF">1996-10-08T23:32:33Z</dcterms:created>
  <dcterms:modified xsi:type="dcterms:W3CDTF">2013-02-15T16:28:45Z</dcterms:modified>
  <cp:category/>
  <cp:version/>
  <cp:contentType/>
  <cp:contentStatus/>
</cp:coreProperties>
</file>