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firstSheet="1" activeTab="1"/>
  </bookViews>
  <sheets>
    <sheet name="Смета на 2010" sheetId="1" r:id="rId1"/>
    <sheet name="смета" sheetId="2" r:id="rId2"/>
    <sheet name="отчет" sheetId="3" r:id="rId3"/>
  </sheets>
  <definedNames/>
  <calcPr fullCalcOnLoad="1" refMode="R1C1"/>
</workbook>
</file>

<file path=xl/sharedStrings.xml><?xml version="1.0" encoding="utf-8"?>
<sst xmlns="http://schemas.openxmlformats.org/spreadsheetml/2006/main" count="217" uniqueCount="129">
  <si>
    <t>Должность</t>
  </si>
  <si>
    <t>Председатель</t>
  </si>
  <si>
    <t>З/п в месяц</t>
  </si>
  <si>
    <t>З/п в месяц с НДФЛ 13%</t>
  </si>
  <si>
    <t>Бухгалтер</t>
  </si>
  <si>
    <t>Сантехник</t>
  </si>
  <si>
    <t>Электрик</t>
  </si>
  <si>
    <t>Налоги с з/п 14,3%</t>
  </si>
  <si>
    <t>З/п с налогами в месяц</t>
  </si>
  <si>
    <t>у нас 500</t>
  </si>
  <si>
    <t>Подготовка к отопительному сезону</t>
  </si>
  <si>
    <t>Взносы в резервный фонд</t>
  </si>
  <si>
    <t>Обслуживание приборов учета</t>
  </si>
  <si>
    <t>Уборка снега с крыши</t>
  </si>
  <si>
    <t>Минимальный налог 1%</t>
  </si>
  <si>
    <t>Расчетно-кассовое обслуживание</t>
  </si>
  <si>
    <t>Заработная плата</t>
  </si>
  <si>
    <t>у нас 3000</t>
  </si>
  <si>
    <t>Услуги уборщицы</t>
  </si>
  <si>
    <t>Услуги дворника</t>
  </si>
  <si>
    <t>Поверка теплосчетчиков</t>
  </si>
  <si>
    <t>Благоустройство территории (покос газонов)</t>
  </si>
  <si>
    <t>Площади</t>
  </si>
  <si>
    <t>Антонов</t>
  </si>
  <si>
    <t>Суворов</t>
  </si>
  <si>
    <t>все</t>
  </si>
  <si>
    <t>жил</t>
  </si>
  <si>
    <t>ЮЛ</t>
  </si>
  <si>
    <t>Всего</t>
  </si>
  <si>
    <t>Стоимость 1м2 в мес.</t>
  </si>
  <si>
    <t>Сумма</t>
  </si>
  <si>
    <t>1. Расчет стоимости 1 кв. метра на содержание общего имущества в месяц</t>
  </si>
  <si>
    <t>Хозяйственные расходы (канц. товары и пр.)</t>
  </si>
  <si>
    <t>Хозяйственные расходы (лампы, инвентарь и пр.)</t>
  </si>
  <si>
    <t>Жил.фонд</t>
  </si>
  <si>
    <t>Статья расходов</t>
  </si>
  <si>
    <t>Жилой фонд</t>
  </si>
  <si>
    <t>2. Расшифровка статьи Заработная плата</t>
  </si>
  <si>
    <t>З/п с налогами в год</t>
  </si>
  <si>
    <t>3. Расчет сбора на благоустройство придомовой территории с квартиры в месяц</t>
  </si>
  <si>
    <t>Приложение № 1</t>
  </si>
  <si>
    <t>к протоколу собрания от 15.03.09 г.</t>
  </si>
  <si>
    <t>Услуги электрика</t>
  </si>
  <si>
    <t>Услуги сантехника</t>
  </si>
  <si>
    <t>Дворник</t>
  </si>
  <si>
    <t>Смета ТСЖ "Лыткина 16/1" на 2010 год</t>
  </si>
  <si>
    <t>Налоги с з/п 20,2%</t>
  </si>
  <si>
    <t>Товарищество собственников жилья "Лыткина 16/1"</t>
  </si>
  <si>
    <t>Свод по кассе</t>
  </si>
  <si>
    <t>Задолженность членов ТСЖ</t>
  </si>
  <si>
    <t>Виды начислений</t>
  </si>
  <si>
    <t>Начислено</t>
  </si>
  <si>
    <t>Оплачено</t>
  </si>
  <si>
    <t>ЖКУ</t>
  </si>
  <si>
    <t>Ремонт дома</t>
  </si>
  <si>
    <t>Итого</t>
  </si>
  <si>
    <t>Оплата поставщикам ЖКУ</t>
  </si>
  <si>
    <t>Тепло</t>
  </si>
  <si>
    <t>Электроэнергия</t>
  </si>
  <si>
    <t>Вода</t>
  </si>
  <si>
    <t>Домофон</t>
  </si>
  <si>
    <t>Спецавтохозяйство</t>
  </si>
  <si>
    <t>Расходы</t>
  </si>
  <si>
    <t>План</t>
  </si>
  <si>
    <t>Факт</t>
  </si>
  <si>
    <t>Дельта</t>
  </si>
  <si>
    <t>Налоги, уплачиваемые с заработной платы</t>
  </si>
  <si>
    <t>Благоустройство территории</t>
  </si>
  <si>
    <t>ИТОГО РАСХОДЫ</t>
  </si>
  <si>
    <t>Резервный фонд</t>
  </si>
  <si>
    <t>Остаток резервного фонда за прошлые периоды</t>
  </si>
  <si>
    <t>Перерасход текущего года</t>
  </si>
  <si>
    <t>Остаток резервного фонда</t>
  </si>
  <si>
    <t>ИТОГО Резервный фонд</t>
  </si>
  <si>
    <t>Свод по заработной плате</t>
  </si>
  <si>
    <t>Выплачено</t>
  </si>
  <si>
    <t>Баланс</t>
  </si>
  <si>
    <t>ИТОГО</t>
  </si>
  <si>
    <t>Отчет об использовании денежных средств за 2012 год (руб.)</t>
  </si>
  <si>
    <t>Остаток в кассе на 01.01.2012 г.</t>
  </si>
  <si>
    <t>Приход за 2012</t>
  </si>
  <si>
    <t>Расход за 2012</t>
  </si>
  <si>
    <t>Остаток в кассе на 31.12.2012 г.</t>
  </si>
  <si>
    <t>Долг на 01.01.12 г.</t>
  </si>
  <si>
    <t>Долг на 31.12.12 г.</t>
  </si>
  <si>
    <t>Расходы ТСЖ за 2012 год</t>
  </si>
  <si>
    <t>Ростелеком</t>
  </si>
  <si>
    <t>почта сах</t>
  </si>
  <si>
    <t>пени тепло</t>
  </si>
  <si>
    <t>пени электричество</t>
  </si>
  <si>
    <t>генеральная уборка подъезда, декабрь 3000</t>
  </si>
  <si>
    <t>переход через теплотрассу</t>
  </si>
  <si>
    <t>уборка газона, перенос кустов</t>
  </si>
  <si>
    <t>покос газонов</t>
  </si>
  <si>
    <t>прочистка лежака канализационного</t>
  </si>
  <si>
    <t>ремонт доводчика</t>
  </si>
  <si>
    <t>окраска тамбура</t>
  </si>
  <si>
    <t>ключи от подъезда</t>
  </si>
  <si>
    <t>картридж</t>
  </si>
  <si>
    <t>распечатка</t>
  </si>
  <si>
    <t>саморезы</t>
  </si>
  <si>
    <t>биты, ключ</t>
  </si>
  <si>
    <t>вычислитель количества теплоты, термопреобразователи</t>
  </si>
  <si>
    <t>ревизия задвижек, вентилей, гидравлические испытания, замена теплосчетчика</t>
  </si>
  <si>
    <t>грунт, семена, парник</t>
  </si>
  <si>
    <t>лампы энергосбер, светильник</t>
  </si>
  <si>
    <t>краска водоэмульсион, эмаль, ацетон, валик, паста</t>
  </si>
  <si>
    <t>метла, лопата</t>
  </si>
  <si>
    <t>хозтовары</t>
  </si>
  <si>
    <t>сгон угловой</t>
  </si>
  <si>
    <t>прокладка паронит</t>
  </si>
  <si>
    <t>Долг членов ТСЖ на 31.12.2012 г.</t>
  </si>
  <si>
    <t>Долг ТСЖ по зарплате на 31.12.2012 г.</t>
  </si>
  <si>
    <t>мешки для мусора, пропер, жидкое мыло, нетканое полотно, перчатки резиновые</t>
  </si>
  <si>
    <t>ключи комбинир</t>
  </si>
  <si>
    <t>перчатки хб утепл</t>
  </si>
  <si>
    <t>Долг по зарплате на 01.01.2012 г.</t>
  </si>
  <si>
    <t>За 2012 год</t>
  </si>
  <si>
    <t>Долг по зарплате на 31.12.2012 г.</t>
  </si>
  <si>
    <t>Уборщица</t>
  </si>
  <si>
    <t xml:space="preserve">папки, бумага, короба архивыне, </t>
  </si>
  <si>
    <t>Благоустройство территории ( газон,цветы)</t>
  </si>
  <si>
    <t>взыскание долга(премия)</t>
  </si>
  <si>
    <t>Повестка дня:</t>
  </si>
  <si>
    <t>2. Утверждение сметы расходов ТСЖ "Лыткина 16/1" на 2013 год.</t>
  </si>
  <si>
    <t>1. Отчет по финансово-хозяйственной деятельности ТСЖ "Лыткина 16/1" за 2012 год.</t>
  </si>
  <si>
    <t xml:space="preserve">Общее собрание жильцов ТСЖ"Лыткина,16/1" состоится 05.05.2013г. в 18.00. час. </t>
  </si>
  <si>
    <t>3. Переизбрание председателя ТСЖ "Лыткина 16/1".</t>
  </si>
  <si>
    <t>Смета ТСЖ "Лыткина 16/1" на 2013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</si>
</sst>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;[Red]\-#,#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3" fontId="2" fillId="0" borderId="2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1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/>
    </xf>
    <xf numFmtId="0" fontId="3" fillId="0" borderId="29" xfId="0" applyFont="1" applyBorder="1" applyAlignment="1">
      <alignment/>
    </xf>
    <xf numFmtId="4" fontId="3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4" fontId="2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4" fontId="3" fillId="0" borderId="37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wrapText="1"/>
    </xf>
    <xf numFmtId="4" fontId="2" fillId="0" borderId="20" xfId="0" applyNumberFormat="1" applyFont="1" applyFill="1" applyBorder="1" applyAlignment="1">
      <alignment horizontal="right" wrapText="1"/>
    </xf>
    <xf numFmtId="4" fontId="2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left" wrapText="1"/>
    </xf>
    <xf numFmtId="4" fontId="2" fillId="0" borderId="17" xfId="0" applyNumberFormat="1" applyFont="1" applyFill="1" applyBorder="1" applyAlignment="1">
      <alignment horizontal="right" wrapText="1"/>
    </xf>
    <xf numFmtId="4" fontId="2" fillId="0" borderId="17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right" wrapText="1"/>
    </xf>
    <xf numFmtId="4" fontId="7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2" fillId="0" borderId="40" xfId="0" applyNumberFormat="1" applyFont="1" applyFill="1" applyBorder="1" applyAlignment="1">
      <alignment horizontal="right" wrapText="1"/>
    </xf>
    <xf numFmtId="4" fontId="2" fillId="0" borderId="41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/>
    </xf>
    <xf numFmtId="0" fontId="7" fillId="0" borderId="42" xfId="0" applyFont="1" applyFill="1" applyBorder="1" applyAlignment="1">
      <alignment horizontal="center" wrapText="1"/>
    </xf>
    <xf numFmtId="4" fontId="7" fillId="0" borderId="43" xfId="0" applyNumberFormat="1" applyFont="1" applyFill="1" applyBorder="1" applyAlignment="1">
      <alignment horizontal="right" wrapText="1"/>
    </xf>
    <xf numFmtId="4" fontId="7" fillId="0" borderId="44" xfId="0" applyNumberFormat="1" applyFont="1" applyFill="1" applyBorder="1" applyAlignment="1">
      <alignment horizontal="right"/>
    </xf>
    <xf numFmtId="4" fontId="7" fillId="0" borderId="45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left"/>
    </xf>
    <xf numFmtId="4" fontId="2" fillId="0" borderId="32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0" fontId="2" fillId="0" borderId="42" xfId="0" applyFont="1" applyFill="1" applyBorder="1" applyAlignment="1">
      <alignment horizontal="left"/>
    </xf>
    <xf numFmtId="4" fontId="2" fillId="0" borderId="43" xfId="0" applyNumberFormat="1" applyFont="1" applyFill="1" applyBorder="1" applyAlignment="1">
      <alignment horizontal="right"/>
    </xf>
    <xf numFmtId="4" fontId="2" fillId="0" borderId="4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4" fontId="2" fillId="0" borderId="41" xfId="0" applyNumberFormat="1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 wrapText="1"/>
    </xf>
    <xf numFmtId="4" fontId="7" fillId="0" borderId="46" xfId="0" applyNumberFormat="1" applyFont="1" applyFill="1" applyBorder="1" applyAlignment="1">
      <alignment horizontal="right" wrapText="1"/>
    </xf>
    <xf numFmtId="4" fontId="7" fillId="0" borderId="47" xfId="0" applyNumberFormat="1" applyFont="1" applyFill="1" applyBorder="1" applyAlignment="1">
      <alignment horizontal="right" wrapText="1"/>
    </xf>
    <xf numFmtId="4" fontId="7" fillId="0" borderId="32" xfId="0" applyNumberFormat="1" applyFont="1" applyFill="1" applyBorder="1" applyAlignment="1">
      <alignment horizontal="center" wrapText="1"/>
    </xf>
    <xf numFmtId="4" fontId="7" fillId="0" borderId="33" xfId="0" applyNumberFormat="1" applyFont="1" applyFill="1" applyBorder="1" applyAlignment="1">
      <alignment horizontal="center" wrapText="1"/>
    </xf>
    <xf numFmtId="3" fontId="2" fillId="0" borderId="20" xfId="0" applyNumberFormat="1" applyFont="1" applyFill="1" applyBorder="1" applyAlignment="1">
      <alignment horizontal="right" wrapText="1"/>
    </xf>
    <xf numFmtId="4" fontId="2" fillId="0" borderId="21" xfId="0" applyNumberFormat="1" applyFont="1" applyFill="1" applyBorder="1" applyAlignment="1">
      <alignment horizontal="right" wrapText="1"/>
    </xf>
    <xf numFmtId="0" fontId="9" fillId="0" borderId="48" xfId="0" applyFont="1" applyFill="1" applyBorder="1" applyAlignment="1">
      <alignment horizontal="left"/>
    </xf>
    <xf numFmtId="4" fontId="9" fillId="0" borderId="41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 horizontal="right" wrapText="1"/>
    </xf>
    <xf numFmtId="3" fontId="9" fillId="0" borderId="18" xfId="0" applyNumberFormat="1" applyFont="1" applyFill="1" applyBorder="1" applyAlignment="1">
      <alignment horizontal="right" wrapText="1"/>
    </xf>
    <xf numFmtId="4" fontId="7" fillId="0" borderId="35" xfId="0" applyNumberFormat="1" applyFont="1" applyFill="1" applyBorder="1" applyAlignment="1">
      <alignment horizontal="right" wrapText="1"/>
    </xf>
    <xf numFmtId="4" fontId="7" fillId="0" borderId="36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20" xfId="0" applyFont="1" applyFill="1" applyBorder="1" applyAlignment="1">
      <alignment horizontal="left"/>
    </xf>
    <xf numFmtId="3" fontId="9" fillId="0" borderId="20" xfId="0" applyNumberFormat="1" applyFont="1" applyFill="1" applyBorder="1" applyAlignment="1">
      <alignment horizontal="right" wrapText="1"/>
    </xf>
    <xf numFmtId="4" fontId="9" fillId="0" borderId="20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 horizontal="right" wrapText="1"/>
    </xf>
    <xf numFmtId="2" fontId="9" fillId="0" borderId="0" xfId="0" applyNumberFormat="1" applyFont="1" applyFill="1" applyAlignment="1">
      <alignment/>
    </xf>
    <xf numFmtId="0" fontId="9" fillId="0" borderId="20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41" xfId="0" applyFont="1" applyFill="1" applyBorder="1" applyAlignment="1">
      <alignment horizontal="left"/>
    </xf>
    <xf numFmtId="4" fontId="9" fillId="0" borderId="17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" fontId="2" fillId="0" borderId="45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50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2" fillId="0" borderId="52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4" fontId="2" fillId="0" borderId="53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4" fontId="3" fillId="0" borderId="58" xfId="0" applyNumberFormat="1" applyFont="1" applyFill="1" applyBorder="1" applyAlignment="1">
      <alignment horizontal="center"/>
    </xf>
    <xf numFmtId="4" fontId="3" fillId="0" borderId="59" xfId="0" applyNumberFormat="1" applyFont="1" applyFill="1" applyBorder="1" applyAlignment="1">
      <alignment horizontal="center"/>
    </xf>
    <xf numFmtId="4" fontId="3" fillId="0" borderId="47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center" wrapText="1"/>
    </xf>
    <xf numFmtId="3" fontId="2" fillId="0" borderId="2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 wrapText="1"/>
    </xf>
    <xf numFmtId="0" fontId="7" fillId="0" borderId="46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left" wrapText="1"/>
    </xf>
    <xf numFmtId="0" fontId="3" fillId="0" borderId="61" xfId="0" applyFont="1" applyFill="1" applyBorder="1" applyAlignment="1">
      <alignment horizontal="left" wrapText="1"/>
    </xf>
    <xf numFmtId="4" fontId="3" fillId="0" borderId="22" xfId="0" applyNumberFormat="1" applyFont="1" applyFill="1" applyBorder="1" applyAlignment="1">
      <alignment horizontal="center"/>
    </xf>
    <xf numFmtId="4" fontId="3" fillId="0" borderId="50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3" fontId="2" fillId="0" borderId="32" xfId="0" applyNumberFormat="1" applyFont="1" applyFill="1" applyBorder="1" applyAlignment="1">
      <alignment horizontal="center" wrapText="1"/>
    </xf>
    <xf numFmtId="3" fontId="2" fillId="0" borderId="33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 horizontal="center"/>
    </xf>
    <xf numFmtId="4" fontId="3" fillId="0" borderId="36" xfId="0" applyNumberFormat="1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3.375" style="1" customWidth="1"/>
    <col min="2" max="2" width="9.25390625" style="1" customWidth="1"/>
    <col min="3" max="3" width="12.375" style="1" hidden="1" customWidth="1"/>
    <col min="4" max="5" width="10.625" style="1" customWidth="1"/>
    <col min="6" max="7" width="10.125" style="1" bestFit="1" customWidth="1"/>
    <col min="8" max="8" width="0" style="1" hidden="1" customWidth="1"/>
    <col min="9" max="9" width="9.125" style="1" customWidth="1"/>
    <col min="10" max="10" width="41.375" style="1" bestFit="1" customWidth="1"/>
    <col min="11" max="16384" width="9.125" style="1" customWidth="1"/>
  </cols>
  <sheetData>
    <row r="1" ht="12.75">
      <c r="I1" s="2" t="s">
        <v>40</v>
      </c>
    </row>
    <row r="2" ht="12.75">
      <c r="I2" s="2" t="s">
        <v>41</v>
      </c>
    </row>
    <row r="3" ht="12.75">
      <c r="G3" s="2"/>
    </row>
    <row r="4" spans="1:7" ht="15.75">
      <c r="A4" s="162" t="s">
        <v>45</v>
      </c>
      <c r="B4" s="162"/>
      <c r="C4" s="162"/>
      <c r="D4" s="162"/>
      <c r="E4" s="162"/>
      <c r="F4" s="162"/>
      <c r="G4" s="162"/>
    </row>
    <row r="6" ht="15">
      <c r="A6" s="54" t="s">
        <v>31</v>
      </c>
    </row>
    <row r="7" ht="13.5" thickBot="1"/>
    <row r="8" spans="1:11" s="7" customFormat="1" ht="13.5" thickBot="1">
      <c r="A8" s="3" t="s">
        <v>35</v>
      </c>
      <c r="B8" s="4" t="s">
        <v>30</v>
      </c>
      <c r="C8" s="5"/>
      <c r="D8" s="4" t="s">
        <v>34</v>
      </c>
      <c r="E8" s="6" t="s">
        <v>27</v>
      </c>
      <c r="J8" s="1"/>
      <c r="K8" s="1"/>
    </row>
    <row r="9" spans="1:9" ht="12.75">
      <c r="A9" s="8" t="s">
        <v>10</v>
      </c>
      <c r="B9" s="9">
        <v>4000</v>
      </c>
      <c r="C9" s="10" t="s">
        <v>25</v>
      </c>
      <c r="D9" s="11">
        <f>B9/$B$27/12</f>
        <v>0.18827392349677394</v>
      </c>
      <c r="E9" s="12">
        <f>B9/$B$27/12</f>
        <v>0.18827392349677394</v>
      </c>
      <c r="F9" s="13"/>
      <c r="I9" s="13"/>
    </row>
    <row r="10" spans="1:9" ht="12.75">
      <c r="A10" s="14" t="s">
        <v>20</v>
      </c>
      <c r="B10" s="15">
        <v>25000</v>
      </c>
      <c r="C10" s="16" t="s">
        <v>25</v>
      </c>
      <c r="D10" s="17">
        <f>B10/$B$27/12</f>
        <v>1.176712021854837</v>
      </c>
      <c r="E10" s="18">
        <f>B10/$B$27/12</f>
        <v>1.176712021854837</v>
      </c>
      <c r="F10" s="13"/>
      <c r="I10" s="13"/>
    </row>
    <row r="11" spans="1:11" ht="12.75">
      <c r="A11" s="19" t="s">
        <v>12</v>
      </c>
      <c r="B11" s="20">
        <v>12000</v>
      </c>
      <c r="C11" s="21" t="s">
        <v>25</v>
      </c>
      <c r="D11" s="22">
        <f>B11/$B$27/12</f>
        <v>0.5648217704903218</v>
      </c>
      <c r="E11" s="23">
        <f>B11/$B$27/12</f>
        <v>0.5648217704903218</v>
      </c>
      <c r="F11" s="13"/>
      <c r="I11" s="13"/>
      <c r="J11" s="7"/>
      <c r="K11" s="7"/>
    </row>
    <row r="12" spans="1:9" ht="12.75">
      <c r="A12" s="19" t="s">
        <v>13</v>
      </c>
      <c r="B12" s="20">
        <v>4500</v>
      </c>
      <c r="C12" s="21" t="s">
        <v>25</v>
      </c>
      <c r="D12" s="22">
        <f>B12/$B$27/12</f>
        <v>0.21180816393387067</v>
      </c>
      <c r="E12" s="23">
        <f>B12/$B$27/12</f>
        <v>0.21180816393387067</v>
      </c>
      <c r="F12" s="13"/>
      <c r="I12" s="13"/>
    </row>
    <row r="13" spans="1:9" ht="25.5">
      <c r="A13" s="24" t="s">
        <v>32</v>
      </c>
      <c r="B13" s="20">
        <v>2400</v>
      </c>
      <c r="C13" s="21" t="s">
        <v>25</v>
      </c>
      <c r="D13" s="22">
        <f>B13/$B$27/12</f>
        <v>0.11296435409806437</v>
      </c>
      <c r="E13" s="23">
        <f>B13/$B$27/12</f>
        <v>0.11296435409806437</v>
      </c>
      <c r="F13" s="13"/>
      <c r="I13" s="13"/>
    </row>
    <row r="14" spans="1:9" ht="25.5">
      <c r="A14" s="24" t="s">
        <v>33</v>
      </c>
      <c r="B14" s="20">
        <v>6000</v>
      </c>
      <c r="C14" s="21" t="s">
        <v>26</v>
      </c>
      <c r="D14" s="22">
        <f>B14/$D$24/12</f>
        <v>0.3850596842510589</v>
      </c>
      <c r="E14" s="23"/>
      <c r="F14" s="13"/>
      <c r="I14" s="13"/>
    </row>
    <row r="15" spans="1:9" ht="12.75">
      <c r="A15" s="19" t="s">
        <v>11</v>
      </c>
      <c r="B15" s="20">
        <v>20000</v>
      </c>
      <c r="C15" s="21" t="s">
        <v>25</v>
      </c>
      <c r="D15" s="22">
        <f>B15/$B$27/12</f>
        <v>0.9413696174838696</v>
      </c>
      <c r="E15" s="23">
        <f>B15/$B$27/12</f>
        <v>0.9413696174838696</v>
      </c>
      <c r="F15" s="13"/>
      <c r="I15" s="13"/>
    </row>
    <row r="16" spans="1:9" ht="12.75">
      <c r="A16" s="19" t="s">
        <v>16</v>
      </c>
      <c r="B16" s="25">
        <f>G36</f>
        <v>173421</v>
      </c>
      <c r="C16" s="21" t="s">
        <v>25</v>
      </c>
      <c r="D16" s="22">
        <f>B16/$B$27/12</f>
        <v>8.162663021683509</v>
      </c>
      <c r="E16" s="23">
        <f>B16/$B$27/12</f>
        <v>8.162663021683509</v>
      </c>
      <c r="F16" s="13"/>
      <c r="I16" s="13"/>
    </row>
    <row r="17" spans="1:9" ht="12.75">
      <c r="A17" s="19" t="s">
        <v>18</v>
      </c>
      <c r="B17" s="20">
        <f>1200*12</f>
        <v>14400</v>
      </c>
      <c r="C17" s="21" t="s">
        <v>26</v>
      </c>
      <c r="D17" s="22">
        <f>B17/$D$24/12</f>
        <v>0.9241432422025414</v>
      </c>
      <c r="E17" s="23"/>
      <c r="F17" s="13"/>
      <c r="I17" s="13"/>
    </row>
    <row r="18" spans="1:9" ht="12.75">
      <c r="A18" s="19" t="s">
        <v>19</v>
      </c>
      <c r="B18" s="20">
        <f>1500*12</f>
        <v>18000</v>
      </c>
      <c r="C18" s="21" t="s">
        <v>26</v>
      </c>
      <c r="D18" s="22">
        <f>B18/$D$24/12</f>
        <v>1.1551790527531767</v>
      </c>
      <c r="E18" s="23"/>
      <c r="F18" s="13"/>
      <c r="I18" s="13"/>
    </row>
    <row r="19" spans="1:9" ht="12.75">
      <c r="A19" s="19" t="s">
        <v>15</v>
      </c>
      <c r="B19" s="20">
        <v>960</v>
      </c>
      <c r="C19" s="21" t="s">
        <v>25</v>
      </c>
      <c r="D19" s="22">
        <f>B19/$B$27/12</f>
        <v>0.045185741639225736</v>
      </c>
      <c r="E19" s="23">
        <f>B19/$B$27/12</f>
        <v>0.045185741639225736</v>
      </c>
      <c r="F19" s="13"/>
      <c r="I19" s="13"/>
    </row>
    <row r="20" spans="1:9" ht="13.5" thickBot="1">
      <c r="A20" s="19" t="s">
        <v>14</v>
      </c>
      <c r="B20" s="20">
        <v>15000</v>
      </c>
      <c r="C20" s="21" t="s">
        <v>25</v>
      </c>
      <c r="D20" s="22">
        <f>B20/$B$27/12</f>
        <v>0.7060272131129022</v>
      </c>
      <c r="E20" s="23">
        <f>B20/$B$27/12</f>
        <v>0.7060272131129022</v>
      </c>
      <c r="F20" s="13"/>
      <c r="I20" s="13"/>
    </row>
    <row r="21" spans="1:11" s="7" customFormat="1" ht="13.5" thickBot="1">
      <c r="A21" s="26" t="s">
        <v>29</v>
      </c>
      <c r="B21" s="5">
        <f>SUM(B9:B20)</f>
        <v>295681</v>
      </c>
      <c r="C21" s="27"/>
      <c r="D21" s="28">
        <f>SUM(D9:D20)</f>
        <v>14.574207807000152</v>
      </c>
      <c r="E21" s="29">
        <f>SUM(E9:E20)</f>
        <v>12.109825827793374</v>
      </c>
      <c r="F21" s="30"/>
      <c r="I21" s="30"/>
      <c r="J21" s="42"/>
      <c r="K21" s="42"/>
    </row>
    <row r="22" spans="10:11" ht="12.75">
      <c r="J22" s="13"/>
      <c r="K22" s="13"/>
    </row>
    <row r="23" spans="1:11" ht="13.5" thickBot="1">
      <c r="A23" s="158" t="s">
        <v>22</v>
      </c>
      <c r="B23" s="158"/>
      <c r="C23" s="158"/>
      <c r="D23" s="158"/>
      <c r="J23" s="13"/>
      <c r="K23" s="13"/>
    </row>
    <row r="24" spans="1:11" ht="13.5" thickBot="1">
      <c r="A24" s="31" t="s">
        <v>36</v>
      </c>
      <c r="B24" s="32">
        <v>1298.5</v>
      </c>
      <c r="C24" s="33"/>
      <c r="D24" s="34">
        <f>SUM(B24:B24)</f>
        <v>1298.5</v>
      </c>
      <c r="J24" s="13"/>
      <c r="K24" s="13"/>
    </row>
    <row r="25" spans="1:11" ht="12.75">
      <c r="A25" s="8" t="s">
        <v>23</v>
      </c>
      <c r="B25" s="35">
        <v>272.4</v>
      </c>
      <c r="C25" s="36"/>
      <c r="D25" s="156">
        <f>SUM(B25:B26)</f>
        <v>471.96999999999997</v>
      </c>
      <c r="J25" s="13"/>
      <c r="K25" s="13"/>
    </row>
    <row r="26" spans="1:11" ht="13.5" thickBot="1">
      <c r="A26" s="14" t="s">
        <v>24</v>
      </c>
      <c r="B26" s="16">
        <v>199.57</v>
      </c>
      <c r="C26" s="37"/>
      <c r="D26" s="157"/>
      <c r="J26" s="13"/>
      <c r="K26" s="13"/>
    </row>
    <row r="27" spans="1:4" ht="13.5" thickBot="1">
      <c r="A27" s="26" t="s">
        <v>28</v>
      </c>
      <c r="B27" s="159">
        <f>SUM(B24:B26)</f>
        <v>1770.47</v>
      </c>
      <c r="C27" s="160"/>
      <c r="D27" s="161"/>
    </row>
    <row r="29" ht="15">
      <c r="A29" s="54" t="s">
        <v>37</v>
      </c>
    </row>
    <row r="30" spans="10:11" ht="13.5" thickBot="1">
      <c r="J30" s="52"/>
      <c r="K30" s="52"/>
    </row>
    <row r="31" spans="1:11" s="42" customFormat="1" ht="47.25" customHeight="1" thickBot="1">
      <c r="A31" s="38" t="s">
        <v>0</v>
      </c>
      <c r="B31" s="39" t="s">
        <v>2</v>
      </c>
      <c r="C31" s="39"/>
      <c r="D31" s="39" t="s">
        <v>3</v>
      </c>
      <c r="E31" s="39" t="s">
        <v>7</v>
      </c>
      <c r="F31" s="39" t="s">
        <v>8</v>
      </c>
      <c r="G31" s="40" t="s">
        <v>38</v>
      </c>
      <c r="H31" s="41"/>
      <c r="J31" s="1"/>
      <c r="K31" s="1"/>
    </row>
    <row r="32" spans="1:14" ht="12.75">
      <c r="A32" s="8" t="s">
        <v>1</v>
      </c>
      <c r="B32" s="35">
        <v>5000</v>
      </c>
      <c r="C32" s="35"/>
      <c r="D32" s="35">
        <v>5747.13</v>
      </c>
      <c r="E32" s="35">
        <v>821.84</v>
      </c>
      <c r="F32" s="35">
        <f>D32+E32</f>
        <v>6568.97</v>
      </c>
      <c r="G32" s="43">
        <f>F32*12</f>
        <v>78827.64</v>
      </c>
      <c r="H32" s="44"/>
      <c r="I32" s="13"/>
      <c r="L32" s="13"/>
      <c r="M32" s="13"/>
      <c r="N32" s="13"/>
    </row>
    <row r="33" spans="1:14" ht="12.75">
      <c r="A33" s="19" t="s">
        <v>4</v>
      </c>
      <c r="B33" s="21">
        <v>4000</v>
      </c>
      <c r="C33" s="21"/>
      <c r="D33" s="21">
        <v>4597.71</v>
      </c>
      <c r="E33" s="21">
        <v>657.47</v>
      </c>
      <c r="F33" s="21">
        <f>D33+E33</f>
        <v>5255.18</v>
      </c>
      <c r="G33" s="45">
        <f>F33*12</f>
        <v>63062.16</v>
      </c>
      <c r="H33" s="46" t="s">
        <v>17</v>
      </c>
      <c r="I33" s="13"/>
      <c r="L33" s="13"/>
      <c r="M33" s="13"/>
      <c r="N33" s="13"/>
    </row>
    <row r="34" spans="1:14" ht="12.75">
      <c r="A34" s="19" t="s">
        <v>5</v>
      </c>
      <c r="B34" s="21">
        <v>1000</v>
      </c>
      <c r="C34" s="21"/>
      <c r="D34" s="21">
        <v>1149.43</v>
      </c>
      <c r="E34" s="21">
        <v>164.37</v>
      </c>
      <c r="F34" s="21">
        <f>D34+E34</f>
        <v>1313.8000000000002</v>
      </c>
      <c r="G34" s="45">
        <f>F34*12</f>
        <v>15765.600000000002</v>
      </c>
      <c r="H34" s="46"/>
      <c r="I34" s="13"/>
      <c r="L34" s="13"/>
      <c r="M34" s="13"/>
      <c r="N34" s="13"/>
    </row>
    <row r="35" spans="1:14" ht="13.5" thickBot="1">
      <c r="A35" s="14" t="s">
        <v>6</v>
      </c>
      <c r="B35" s="16">
        <v>1000</v>
      </c>
      <c r="C35" s="16"/>
      <c r="D35" s="16">
        <v>1149.43</v>
      </c>
      <c r="E35" s="16">
        <v>164.37</v>
      </c>
      <c r="F35" s="16">
        <f>D35+E35</f>
        <v>1313.8000000000002</v>
      </c>
      <c r="G35" s="47">
        <f>F35*12</f>
        <v>15765.600000000002</v>
      </c>
      <c r="H35" s="48" t="s">
        <v>9</v>
      </c>
      <c r="I35" s="13"/>
      <c r="L35" s="13"/>
      <c r="M35" s="13"/>
      <c r="N35" s="13"/>
    </row>
    <row r="36" spans="1:14" ht="13.5" thickBot="1">
      <c r="A36" s="26" t="s">
        <v>28</v>
      </c>
      <c r="B36" s="27">
        <f>SUM(B32:B35)</f>
        <v>11000</v>
      </c>
      <c r="C36" s="27"/>
      <c r="D36" s="27">
        <f>SUM(D32:D35)</f>
        <v>12643.7</v>
      </c>
      <c r="E36" s="27">
        <f>SUM(E32:E35)</f>
        <v>1808.0499999999997</v>
      </c>
      <c r="F36" s="27">
        <f>SUM(F32:F35)</f>
        <v>14451.75</v>
      </c>
      <c r="G36" s="49">
        <f>SUM(G32:G35)</f>
        <v>173421</v>
      </c>
      <c r="H36" s="50"/>
      <c r="I36" s="13"/>
      <c r="L36" s="13"/>
      <c r="M36" s="13"/>
      <c r="N36" s="13"/>
    </row>
    <row r="38" ht="15">
      <c r="A38" s="54" t="s">
        <v>39</v>
      </c>
    </row>
    <row r="40" spans="1:11" s="52" customFormat="1" ht="12.75">
      <c r="A40" s="163" t="s">
        <v>35</v>
      </c>
      <c r="B40" s="164"/>
      <c r="C40" s="51" t="s">
        <v>30</v>
      </c>
      <c r="D40" s="51" t="s">
        <v>30</v>
      </c>
      <c r="E40" s="51" t="s">
        <v>34</v>
      </c>
      <c r="J40" s="1"/>
      <c r="K40" s="1"/>
    </row>
    <row r="41" spans="1:7" ht="12.75">
      <c r="A41" s="165" t="s">
        <v>21</v>
      </c>
      <c r="B41" s="166"/>
      <c r="C41" s="20">
        <v>4000</v>
      </c>
      <c r="D41" s="20">
        <v>4000</v>
      </c>
      <c r="E41" s="22">
        <f>C41/29/12</f>
        <v>11.49425287356322</v>
      </c>
      <c r="F41" s="53">
        <v>2000</v>
      </c>
      <c r="G41" s="13"/>
    </row>
  </sheetData>
  <sheetProtection/>
  <mergeCells count="6">
    <mergeCell ref="D25:D26"/>
    <mergeCell ref="A23:D23"/>
    <mergeCell ref="B27:D27"/>
    <mergeCell ref="A4:G4"/>
    <mergeCell ref="A40:B40"/>
    <mergeCell ref="A41:B41"/>
  </mergeCells>
  <printOptions/>
  <pageMargins left="0.75" right="0.75" top="1" bottom="1" header="0.96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H27" sqref="H27"/>
    </sheetView>
  </sheetViews>
  <sheetFormatPr defaultColWidth="9.00390625" defaultRowHeight="12.75"/>
  <cols>
    <col min="1" max="1" width="33.375" style="1" customWidth="1"/>
    <col min="2" max="2" width="9.75390625" style="1" customWidth="1"/>
    <col min="3" max="3" width="12.375" style="1" hidden="1" customWidth="1"/>
    <col min="4" max="5" width="10.625" style="1" customWidth="1"/>
    <col min="6" max="7" width="10.125" style="1" bestFit="1" customWidth="1"/>
    <col min="8" max="16384" width="9.125" style="1" customWidth="1"/>
  </cols>
  <sheetData>
    <row r="1" ht="12.75">
      <c r="H1" s="2"/>
    </row>
    <row r="2" ht="12.75">
      <c r="H2" s="2"/>
    </row>
    <row r="3" ht="12.75">
      <c r="G3" s="2"/>
    </row>
    <row r="4" spans="1:7" ht="15.75">
      <c r="A4" s="167" t="s">
        <v>128</v>
      </c>
      <c r="B4" s="167"/>
      <c r="C4" s="167"/>
      <c r="D4" s="167"/>
      <c r="E4" s="167"/>
      <c r="F4" s="167"/>
      <c r="G4" s="167"/>
    </row>
    <row r="6" ht="15">
      <c r="A6" s="54" t="s">
        <v>31</v>
      </c>
    </row>
    <row r="7" ht="13.5" thickBot="1"/>
    <row r="8" spans="1:5" s="7" customFormat="1" ht="13.5" thickBot="1">
      <c r="A8" s="3" t="s">
        <v>35</v>
      </c>
      <c r="B8" s="4" t="s">
        <v>30</v>
      </c>
      <c r="C8" s="5"/>
      <c r="D8" s="4" t="s">
        <v>34</v>
      </c>
      <c r="E8" s="6" t="s">
        <v>27</v>
      </c>
    </row>
    <row r="9" spans="1:6" ht="12.75">
      <c r="A9" s="8" t="s">
        <v>10</v>
      </c>
      <c r="B9" s="66">
        <v>20000</v>
      </c>
      <c r="C9" s="10" t="s">
        <v>25</v>
      </c>
      <c r="D9" s="11">
        <f>B9/$B$29/12</f>
        <v>0.9413696174838696</v>
      </c>
      <c r="E9" s="12">
        <f>B9/$B$29/12</f>
        <v>0.9413696174838696</v>
      </c>
      <c r="F9" s="13"/>
    </row>
    <row r="10" spans="1:6" ht="12.75">
      <c r="A10" s="14" t="s">
        <v>20</v>
      </c>
      <c r="B10" s="67">
        <v>0</v>
      </c>
      <c r="C10" s="16" t="s">
        <v>25</v>
      </c>
      <c r="D10" s="17">
        <f>B10/$B$29/12</f>
        <v>0</v>
      </c>
      <c r="E10" s="18">
        <f>B10/$B$29/12</f>
        <v>0</v>
      </c>
      <c r="F10" s="13"/>
    </row>
    <row r="11" spans="1:6" ht="12.75">
      <c r="A11" s="19" t="s">
        <v>12</v>
      </c>
      <c r="B11" s="25">
        <v>18000</v>
      </c>
      <c r="C11" s="21" t="s">
        <v>25</v>
      </c>
      <c r="D11" s="22">
        <f>B11/$B$29/12</f>
        <v>0.8472326557354827</v>
      </c>
      <c r="E11" s="23">
        <f>B11/$B$29/12</f>
        <v>0.8472326557354827</v>
      </c>
      <c r="F11" s="13"/>
    </row>
    <row r="12" spans="1:6" ht="12.75">
      <c r="A12" s="19" t="s">
        <v>13</v>
      </c>
      <c r="B12" s="25">
        <v>12000</v>
      </c>
      <c r="C12" s="21" t="s">
        <v>25</v>
      </c>
      <c r="D12" s="22">
        <f>B12/$B$29/12</f>
        <v>0.5648217704903218</v>
      </c>
      <c r="E12" s="23">
        <f>B12/$B$29/12</f>
        <v>0.5648217704903218</v>
      </c>
      <c r="F12" s="13"/>
    </row>
    <row r="13" spans="1:6" ht="25.5">
      <c r="A13" s="24" t="s">
        <v>32</v>
      </c>
      <c r="B13" s="25">
        <v>5000</v>
      </c>
      <c r="C13" s="21" t="s">
        <v>25</v>
      </c>
      <c r="D13" s="22">
        <v>0.24</v>
      </c>
      <c r="E13" s="23">
        <f>B13/$B$29/12</f>
        <v>0.2353424043709674</v>
      </c>
      <c r="F13" s="13"/>
    </row>
    <row r="14" spans="1:6" ht="25.5">
      <c r="A14" s="24" t="s">
        <v>33</v>
      </c>
      <c r="B14" s="25">
        <v>5500</v>
      </c>
      <c r="C14" s="21" t="s">
        <v>26</v>
      </c>
      <c r="D14" s="22">
        <f>B14/$D$26/12</f>
        <v>0.35297137723013733</v>
      </c>
      <c r="E14" s="23"/>
      <c r="F14" s="13"/>
    </row>
    <row r="15" spans="1:6" ht="12.75">
      <c r="A15" s="19" t="s">
        <v>11</v>
      </c>
      <c r="B15" s="25">
        <v>15000</v>
      </c>
      <c r="C15" s="21" t="s">
        <v>25</v>
      </c>
      <c r="D15" s="22">
        <f>B15/$B$29/12</f>
        <v>0.7060272131129022</v>
      </c>
      <c r="E15" s="23">
        <f>B15/$B$29/12</f>
        <v>0.7060272131129022</v>
      </c>
      <c r="F15" s="13"/>
    </row>
    <row r="16" spans="1:6" ht="12.75">
      <c r="A16" s="55" t="s">
        <v>16</v>
      </c>
      <c r="B16" s="56">
        <f>G34+G35</f>
        <v>165803.88</v>
      </c>
      <c r="C16" s="56" t="s">
        <v>25</v>
      </c>
      <c r="D16" s="57">
        <f>B16/$B$29/12</f>
        <v>7.804136754647072</v>
      </c>
      <c r="E16" s="23">
        <f>B16/$B$29/12</f>
        <v>7.804136754647072</v>
      </c>
      <c r="F16" s="13"/>
    </row>
    <row r="17" spans="1:6" ht="12.75">
      <c r="A17" s="55" t="s">
        <v>18</v>
      </c>
      <c r="B17" s="56">
        <f>G36</f>
        <v>20400</v>
      </c>
      <c r="C17" s="56" t="s">
        <v>26</v>
      </c>
      <c r="D17" s="57">
        <f>B17/$D$26/12</f>
        <v>1.3092029264536003</v>
      </c>
      <c r="E17" s="23"/>
      <c r="F17" s="13"/>
    </row>
    <row r="18" spans="1:6" ht="12.75">
      <c r="A18" s="55" t="s">
        <v>19</v>
      </c>
      <c r="B18" s="56">
        <f>G37</f>
        <v>22800</v>
      </c>
      <c r="C18" s="56" t="s">
        <v>26</v>
      </c>
      <c r="D18" s="57">
        <f>B18/$D$26/12</f>
        <v>1.4632268001540238</v>
      </c>
      <c r="E18" s="23"/>
      <c r="F18" s="13"/>
    </row>
    <row r="19" spans="1:6" ht="12.75">
      <c r="A19" s="55" t="s">
        <v>42</v>
      </c>
      <c r="B19" s="25">
        <v>0</v>
      </c>
      <c r="C19" s="56"/>
      <c r="D19" s="57">
        <f>B19/$B$29/12</f>
        <v>0</v>
      </c>
      <c r="E19" s="23">
        <f>B19/$B$29/12</f>
        <v>0</v>
      </c>
      <c r="F19" s="13"/>
    </row>
    <row r="20" spans="1:6" ht="12.75">
      <c r="A20" s="55" t="s">
        <v>43</v>
      </c>
      <c r="B20" s="56">
        <v>12000</v>
      </c>
      <c r="C20" s="56"/>
      <c r="D20" s="57">
        <f>B20/$B$29/12</f>
        <v>0.5648217704903218</v>
      </c>
      <c r="E20" s="23">
        <f>B20/$B$29/12</f>
        <v>0.5648217704903218</v>
      </c>
      <c r="F20" s="13"/>
    </row>
    <row r="21" spans="1:6" ht="12.75">
      <c r="A21" s="55" t="s">
        <v>15</v>
      </c>
      <c r="B21" s="25">
        <v>3600</v>
      </c>
      <c r="C21" s="56" t="s">
        <v>25</v>
      </c>
      <c r="D21" s="57">
        <f>B21/$B$29/12</f>
        <v>0.1694465311470965</v>
      </c>
      <c r="E21" s="23">
        <f>B21/$B$29/12</f>
        <v>0.1694465311470965</v>
      </c>
      <c r="F21" s="13"/>
    </row>
    <row r="22" spans="1:6" ht="13.5" thickBot="1">
      <c r="A22" s="19" t="s">
        <v>14</v>
      </c>
      <c r="B22" s="25">
        <v>22000</v>
      </c>
      <c r="C22" s="21" t="s">
        <v>25</v>
      </c>
      <c r="D22" s="22">
        <f>B22/$B$29/12</f>
        <v>1.0355065792322566</v>
      </c>
      <c r="E22" s="23">
        <f>B22/$B$29/12</f>
        <v>1.0355065792322566</v>
      </c>
      <c r="F22" s="13"/>
    </row>
    <row r="23" spans="1:6" s="7" customFormat="1" ht="13.5" thickBot="1">
      <c r="A23" s="26" t="s">
        <v>29</v>
      </c>
      <c r="B23" s="27">
        <f>SUM(B9:B22)</f>
        <v>322103.88</v>
      </c>
      <c r="C23" s="27"/>
      <c r="D23" s="28">
        <f>SUM(D9:D22)</f>
        <v>15.998763996177086</v>
      </c>
      <c r="E23" s="29">
        <f>SUM(E9:E22)</f>
        <v>12.868705296710292</v>
      </c>
      <c r="F23" s="30"/>
    </row>
    <row r="25" spans="1:4" ht="13.5" thickBot="1">
      <c r="A25" s="158" t="s">
        <v>22</v>
      </c>
      <c r="B25" s="158"/>
      <c r="C25" s="158"/>
      <c r="D25" s="158"/>
    </row>
    <row r="26" spans="1:4" ht="13.5" thickBot="1">
      <c r="A26" s="31" t="s">
        <v>36</v>
      </c>
      <c r="B26" s="32">
        <v>1298.5</v>
      </c>
      <c r="C26" s="33"/>
      <c r="D26" s="34">
        <f>SUM(B26:B26)</f>
        <v>1298.5</v>
      </c>
    </row>
    <row r="27" spans="1:4" ht="12.75">
      <c r="A27" s="8" t="s">
        <v>23</v>
      </c>
      <c r="B27" s="35">
        <v>272.4</v>
      </c>
      <c r="C27" s="36"/>
      <c r="D27" s="156">
        <f>SUM(B27:B28)</f>
        <v>471.96999999999997</v>
      </c>
    </row>
    <row r="28" spans="1:4" ht="13.5" thickBot="1">
      <c r="A28" s="14" t="s">
        <v>24</v>
      </c>
      <c r="B28" s="16">
        <v>199.57</v>
      </c>
      <c r="C28" s="37"/>
      <c r="D28" s="157"/>
    </row>
    <row r="29" spans="1:4" ht="13.5" thickBot="1">
      <c r="A29" s="26" t="s">
        <v>28</v>
      </c>
      <c r="B29" s="159">
        <f>SUM(B26:B28)</f>
        <v>1770.47</v>
      </c>
      <c r="C29" s="160"/>
      <c r="D29" s="161"/>
    </row>
    <row r="31" ht="15">
      <c r="A31" s="54" t="s">
        <v>37</v>
      </c>
    </row>
    <row r="32" ht="13.5" thickBot="1"/>
    <row r="33" spans="1:7" s="42" customFormat="1" ht="47.25" customHeight="1" thickBot="1">
      <c r="A33" s="38" t="s">
        <v>0</v>
      </c>
      <c r="B33" s="39" t="s">
        <v>2</v>
      </c>
      <c r="C33" s="39"/>
      <c r="D33" s="39" t="s">
        <v>3</v>
      </c>
      <c r="E33" s="39" t="s">
        <v>46</v>
      </c>
      <c r="F33" s="39" t="s">
        <v>8</v>
      </c>
      <c r="G33" s="40" t="s">
        <v>38</v>
      </c>
    </row>
    <row r="34" spans="1:13" ht="12.75">
      <c r="A34" s="60" t="s">
        <v>1</v>
      </c>
      <c r="B34" s="61">
        <v>6000</v>
      </c>
      <c r="C34" s="61"/>
      <c r="D34" s="61">
        <v>6897</v>
      </c>
      <c r="E34" s="61">
        <v>1393.19</v>
      </c>
      <c r="F34" s="61">
        <f>D34+E34</f>
        <v>8290.19</v>
      </c>
      <c r="G34" s="62">
        <f>F34*12</f>
        <v>99482.28</v>
      </c>
      <c r="H34" s="13"/>
      <c r="I34" s="13"/>
      <c r="J34" s="13"/>
      <c r="K34" s="13"/>
      <c r="L34" s="13"/>
      <c r="M34" s="13"/>
    </row>
    <row r="35" spans="1:13" ht="12.75">
      <c r="A35" s="19" t="s">
        <v>4</v>
      </c>
      <c r="B35" s="21">
        <v>4000</v>
      </c>
      <c r="C35" s="21"/>
      <c r="D35" s="21">
        <v>4598</v>
      </c>
      <c r="E35" s="21">
        <v>928.8</v>
      </c>
      <c r="F35" s="21">
        <f>D35+E35</f>
        <v>5526.8</v>
      </c>
      <c r="G35" s="45">
        <f>F35*12</f>
        <v>66321.6</v>
      </c>
      <c r="H35" s="13"/>
      <c r="I35" s="13"/>
      <c r="J35" s="13"/>
      <c r="K35" s="13"/>
      <c r="L35" s="13"/>
      <c r="M35" s="13"/>
    </row>
    <row r="36" spans="1:13" ht="12.75">
      <c r="A36" s="19" t="s">
        <v>119</v>
      </c>
      <c r="B36" s="21">
        <v>1700</v>
      </c>
      <c r="C36" s="21"/>
      <c r="D36" s="21">
        <v>1700</v>
      </c>
      <c r="E36" s="21">
        <v>0</v>
      </c>
      <c r="F36" s="21">
        <f>D36+E36</f>
        <v>1700</v>
      </c>
      <c r="G36" s="45">
        <f>F36*12</f>
        <v>20400</v>
      </c>
      <c r="H36" s="13"/>
      <c r="I36" s="13"/>
      <c r="J36" s="13"/>
      <c r="K36" s="13"/>
      <c r="L36" s="13"/>
      <c r="M36" s="13"/>
    </row>
    <row r="37" spans="1:13" ht="12.75">
      <c r="A37" s="19" t="s">
        <v>44</v>
      </c>
      <c r="B37" s="21">
        <v>1900</v>
      </c>
      <c r="C37" s="21"/>
      <c r="D37" s="21">
        <v>1900</v>
      </c>
      <c r="E37" s="21">
        <v>0</v>
      </c>
      <c r="F37" s="21">
        <f>D37+E37</f>
        <v>1900</v>
      </c>
      <c r="G37" s="45">
        <f>F37*12</f>
        <v>22800</v>
      </c>
      <c r="H37" s="13"/>
      <c r="I37" s="13"/>
      <c r="J37" s="13"/>
      <c r="K37" s="13"/>
      <c r="L37" s="13"/>
      <c r="M37" s="13"/>
    </row>
    <row r="38" spans="1:13" ht="13.5" thickBot="1">
      <c r="A38" s="63" t="s">
        <v>5</v>
      </c>
      <c r="B38" s="64">
        <v>1000</v>
      </c>
      <c r="C38" s="64"/>
      <c r="D38" s="64">
        <v>1000</v>
      </c>
      <c r="E38" s="64">
        <v>0</v>
      </c>
      <c r="F38" s="64">
        <f>D38+E38</f>
        <v>1000</v>
      </c>
      <c r="G38" s="65">
        <f>F38*12</f>
        <v>12000</v>
      </c>
      <c r="H38" s="13"/>
      <c r="I38" s="13"/>
      <c r="J38" s="13"/>
      <c r="K38" s="13"/>
      <c r="L38" s="13"/>
      <c r="M38" s="13"/>
    </row>
    <row r="39" spans="1:13" ht="13.5" thickBot="1">
      <c r="A39" s="58" t="s">
        <v>28</v>
      </c>
      <c r="B39" s="59">
        <f aca="true" t="shared" si="0" ref="B39:G39">SUM(B34:B38)</f>
        <v>14600</v>
      </c>
      <c r="C39" s="59">
        <f t="shared" si="0"/>
        <v>0</v>
      </c>
      <c r="D39" s="59">
        <f t="shared" si="0"/>
        <v>16095</v>
      </c>
      <c r="E39" s="59">
        <f t="shared" si="0"/>
        <v>2321.99</v>
      </c>
      <c r="F39" s="59">
        <f t="shared" si="0"/>
        <v>18416.99</v>
      </c>
      <c r="G39" s="68">
        <f t="shared" si="0"/>
        <v>221003.88</v>
      </c>
      <c r="H39" s="13"/>
      <c r="I39" s="13"/>
      <c r="J39" s="13"/>
      <c r="K39" s="13"/>
      <c r="L39" s="13"/>
      <c r="M39" s="13"/>
    </row>
    <row r="41" ht="15">
      <c r="A41" s="54" t="s">
        <v>39</v>
      </c>
    </row>
    <row r="43" spans="1:5" s="52" customFormat="1" ht="12.75">
      <c r="A43" s="163" t="s">
        <v>35</v>
      </c>
      <c r="B43" s="164"/>
      <c r="C43" s="51" t="s">
        <v>30</v>
      </c>
      <c r="D43" s="51" t="s">
        <v>30</v>
      </c>
      <c r="E43" s="51" t="s">
        <v>34</v>
      </c>
    </row>
    <row r="44" spans="1:7" ht="12.75">
      <c r="A44" s="165" t="s">
        <v>121</v>
      </c>
      <c r="B44" s="166"/>
      <c r="C44" s="20">
        <v>4000</v>
      </c>
      <c r="D44" s="20">
        <v>4000</v>
      </c>
      <c r="E44" s="22">
        <f>C44/29/12</f>
        <v>11.49425287356322</v>
      </c>
      <c r="F44" s="53"/>
      <c r="G44" s="13"/>
    </row>
  </sheetData>
  <sheetProtection/>
  <mergeCells count="6">
    <mergeCell ref="A4:G4"/>
    <mergeCell ref="A25:D25"/>
    <mergeCell ref="D27:D28"/>
    <mergeCell ref="B29:D29"/>
    <mergeCell ref="A43:B43"/>
    <mergeCell ref="A44:B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zoomScalePageLayoutView="0" workbookViewId="0" topLeftCell="A1">
      <selection activeCell="I47" sqref="I47"/>
    </sheetView>
  </sheetViews>
  <sheetFormatPr defaultColWidth="9.00390625" defaultRowHeight="12.75"/>
  <cols>
    <col min="1" max="1" width="6.25390625" style="69" customWidth="1"/>
    <col min="2" max="2" width="30.375" style="96" customWidth="1"/>
    <col min="3" max="3" width="12.125" style="96" customWidth="1"/>
    <col min="4" max="4" width="11.25390625" style="69" customWidth="1"/>
    <col min="5" max="5" width="11.625" style="69" customWidth="1"/>
    <col min="6" max="6" width="10.375" style="69" customWidth="1"/>
    <col min="7" max="14" width="9.125" style="69" customWidth="1"/>
    <col min="15" max="16384" width="9.125" style="69" customWidth="1"/>
  </cols>
  <sheetData>
    <row r="1" spans="2:6" ht="13.5">
      <c r="B1" s="223" t="s">
        <v>47</v>
      </c>
      <c r="C1" s="223"/>
      <c r="D1" s="223"/>
      <c r="E1" s="223"/>
      <c r="F1" s="223"/>
    </row>
    <row r="2" spans="2:6" ht="13.5">
      <c r="B2" s="70"/>
      <c r="C2" s="70"/>
      <c r="D2" s="70"/>
      <c r="E2" s="70"/>
      <c r="F2" s="70"/>
    </row>
    <row r="3" spans="1:7" ht="34.5" customHeight="1">
      <c r="A3" s="224" t="s">
        <v>78</v>
      </c>
      <c r="B3" s="224"/>
      <c r="C3" s="224"/>
      <c r="D3" s="224"/>
      <c r="E3" s="224"/>
      <c r="F3" s="224"/>
      <c r="G3" s="224"/>
    </row>
    <row r="4" spans="2:6" ht="12.75" customHeight="1" thickBot="1">
      <c r="B4" s="71"/>
      <c r="C4" s="71"/>
      <c r="D4" s="72"/>
      <c r="E4" s="72"/>
      <c r="F4" s="72"/>
    </row>
    <row r="5" spans="2:12" s="73" customFormat="1" ht="13.5" thickBot="1">
      <c r="B5" s="186" t="s">
        <v>48</v>
      </c>
      <c r="C5" s="225"/>
      <c r="D5" s="187"/>
      <c r="E5" s="187"/>
      <c r="F5" s="226"/>
      <c r="G5" s="74"/>
      <c r="H5" s="74"/>
      <c r="I5" s="74"/>
      <c r="J5" s="74"/>
      <c r="K5" s="74"/>
      <c r="L5" s="74"/>
    </row>
    <row r="6" spans="2:12" s="75" customFormat="1" ht="12.75">
      <c r="B6" s="168" t="s">
        <v>79</v>
      </c>
      <c r="C6" s="169"/>
      <c r="D6" s="227">
        <v>52666.67</v>
      </c>
      <c r="E6" s="227"/>
      <c r="F6" s="228"/>
      <c r="G6" s="76"/>
      <c r="H6" s="76"/>
      <c r="I6" s="76"/>
      <c r="J6" s="76"/>
      <c r="K6" s="76"/>
      <c r="L6" s="76"/>
    </row>
    <row r="7" spans="2:12" s="77" customFormat="1" ht="12.75">
      <c r="B7" s="210" t="s">
        <v>80</v>
      </c>
      <c r="C7" s="211"/>
      <c r="D7" s="212">
        <f>E16</f>
        <v>1527340.53</v>
      </c>
      <c r="E7" s="212"/>
      <c r="F7" s="213"/>
      <c r="G7" s="78"/>
      <c r="H7" s="78"/>
      <c r="I7" s="78"/>
      <c r="J7" s="78"/>
      <c r="K7" s="78"/>
      <c r="L7" s="78"/>
    </row>
    <row r="8" spans="2:13" ht="12.75">
      <c r="B8" s="210" t="s">
        <v>81</v>
      </c>
      <c r="C8" s="211"/>
      <c r="D8" s="212">
        <f>D76</f>
        <v>1507957.8</v>
      </c>
      <c r="E8" s="212"/>
      <c r="F8" s="213"/>
      <c r="H8" s="79"/>
      <c r="I8" s="79"/>
      <c r="J8" s="79"/>
      <c r="K8" s="79"/>
      <c r="L8" s="79"/>
      <c r="M8" s="79"/>
    </row>
    <row r="9" spans="2:13" ht="13.5" thickBot="1">
      <c r="B9" s="177" t="s">
        <v>82</v>
      </c>
      <c r="C9" s="178"/>
      <c r="D9" s="214">
        <f>D6+D7-D8</f>
        <v>72049.3999999999</v>
      </c>
      <c r="E9" s="214"/>
      <c r="F9" s="215"/>
      <c r="H9" s="79"/>
      <c r="I9" s="79"/>
      <c r="J9" s="79"/>
      <c r="K9" s="79"/>
      <c r="L9" s="79"/>
      <c r="M9" s="79"/>
    </row>
    <row r="10" spans="2:12" ht="13.5" thickBot="1">
      <c r="B10" s="71"/>
      <c r="C10" s="71"/>
      <c r="D10" s="80"/>
      <c r="E10" s="80"/>
      <c r="F10" s="80"/>
      <c r="G10" s="79"/>
      <c r="H10" s="79"/>
      <c r="I10" s="79"/>
      <c r="J10" s="79"/>
      <c r="K10" s="79"/>
      <c r="L10" s="79"/>
    </row>
    <row r="11" spans="2:12" ht="13.5" thickBot="1">
      <c r="B11" s="216" t="s">
        <v>49</v>
      </c>
      <c r="C11" s="217"/>
      <c r="D11" s="217"/>
      <c r="E11" s="217"/>
      <c r="F11" s="218"/>
      <c r="G11" s="79"/>
      <c r="H11" s="79"/>
      <c r="I11" s="79"/>
      <c r="J11" s="79"/>
      <c r="K11" s="79"/>
      <c r="L11" s="79"/>
    </row>
    <row r="12" spans="2:12" ht="27">
      <c r="B12" s="81" t="s">
        <v>50</v>
      </c>
      <c r="C12" s="82" t="s">
        <v>83</v>
      </c>
      <c r="D12" s="83" t="s">
        <v>51</v>
      </c>
      <c r="E12" s="83" t="s">
        <v>52</v>
      </c>
      <c r="F12" s="84" t="s">
        <v>84</v>
      </c>
      <c r="G12" s="79"/>
      <c r="H12" s="79"/>
      <c r="I12" s="79"/>
      <c r="J12" s="79"/>
      <c r="K12" s="79"/>
      <c r="L12" s="79"/>
    </row>
    <row r="13" spans="2:12" ht="12.75">
      <c r="B13" s="85" t="s">
        <v>53</v>
      </c>
      <c r="C13" s="86">
        <v>297855.38</v>
      </c>
      <c r="D13" s="87">
        <v>1529995.32</v>
      </c>
      <c r="E13" s="87">
        <f>1523740.53-E14</f>
        <v>1521740.53</v>
      </c>
      <c r="F13" s="88">
        <f>C13+D13-E13</f>
        <v>306110.17000000016</v>
      </c>
      <c r="G13" s="79"/>
      <c r="H13" s="79"/>
      <c r="I13" s="79"/>
      <c r="J13" s="79"/>
      <c r="K13" s="79"/>
      <c r="L13" s="79"/>
    </row>
    <row r="14" spans="2:12" ht="12.75">
      <c r="B14" s="89" t="s">
        <v>54</v>
      </c>
      <c r="C14" s="90">
        <v>2000</v>
      </c>
      <c r="D14" s="91">
        <v>0</v>
      </c>
      <c r="E14" s="91">
        <v>2000</v>
      </c>
      <c r="F14" s="92">
        <f>C14+D14-E14</f>
        <v>0</v>
      </c>
      <c r="G14" s="79"/>
      <c r="H14" s="79"/>
      <c r="I14" s="79"/>
      <c r="J14" s="79"/>
      <c r="K14" s="79"/>
      <c r="L14" s="79"/>
    </row>
    <row r="15" spans="2:12" ht="13.5" thickBot="1">
      <c r="B15" s="89" t="s">
        <v>86</v>
      </c>
      <c r="C15" s="90">
        <v>0</v>
      </c>
      <c r="D15" s="91">
        <v>3600</v>
      </c>
      <c r="E15" s="91">
        <v>3600</v>
      </c>
      <c r="F15" s="92">
        <f>C15+D15-E15</f>
        <v>0</v>
      </c>
      <c r="G15" s="79"/>
      <c r="H15" s="79"/>
      <c r="I15" s="79"/>
      <c r="J15" s="79"/>
      <c r="K15" s="79"/>
      <c r="L15" s="79"/>
    </row>
    <row r="16" spans="2:12" ht="14.25" thickBot="1">
      <c r="B16" s="93" t="s">
        <v>55</v>
      </c>
      <c r="C16" s="94">
        <f>SUM(C13:C15)</f>
        <v>299855.38</v>
      </c>
      <c r="D16" s="94">
        <f>SUM(D13:D15)</f>
        <v>1533595.32</v>
      </c>
      <c r="E16" s="94">
        <f>SUM(E13:E15)</f>
        <v>1527340.53</v>
      </c>
      <c r="F16" s="95">
        <f>SUM(F13:F15)</f>
        <v>306110.17000000016</v>
      </c>
      <c r="G16" s="79"/>
      <c r="H16" s="79"/>
      <c r="I16" s="79"/>
      <c r="J16" s="79"/>
      <c r="K16" s="79"/>
      <c r="L16" s="79"/>
    </row>
    <row r="17" spans="4:12" ht="13.5" thickBot="1">
      <c r="D17" s="79"/>
      <c r="E17" s="79"/>
      <c r="F17" s="79"/>
      <c r="G17" s="79"/>
      <c r="H17" s="79"/>
      <c r="I17" s="79"/>
      <c r="J17" s="79"/>
      <c r="K17" s="79"/>
      <c r="L17" s="79"/>
    </row>
    <row r="18" spans="2:6" ht="13.5" thickBot="1">
      <c r="B18" s="219" t="s">
        <v>85</v>
      </c>
      <c r="C18" s="220"/>
      <c r="D18" s="221"/>
      <c r="E18" s="221"/>
      <c r="F18" s="222"/>
    </row>
    <row r="19" spans="2:6" ht="27">
      <c r="B19" s="81" t="s">
        <v>56</v>
      </c>
      <c r="C19" s="97" t="s">
        <v>83</v>
      </c>
      <c r="D19" s="83" t="s">
        <v>51</v>
      </c>
      <c r="E19" s="83" t="s">
        <v>52</v>
      </c>
      <c r="F19" s="98" t="s">
        <v>84</v>
      </c>
    </row>
    <row r="20" spans="2:6" s="99" customFormat="1" ht="12.75">
      <c r="B20" s="85" t="s">
        <v>57</v>
      </c>
      <c r="C20" s="100">
        <v>132906.5</v>
      </c>
      <c r="D20" s="101">
        <f>514883.17+4410-40.11</f>
        <v>519253.06</v>
      </c>
      <c r="E20" s="87">
        <f>503708.81-40.11</f>
        <v>503668.7</v>
      </c>
      <c r="F20" s="88">
        <f>C20+D20-E20</f>
        <v>148490.86000000004</v>
      </c>
    </row>
    <row r="21" spans="2:6" ht="12.75">
      <c r="B21" s="85" t="s">
        <v>58</v>
      </c>
      <c r="C21" s="100">
        <v>33076.07</v>
      </c>
      <c r="D21" s="87">
        <f>506556.2-92.63-84.79-74.42</f>
        <v>506304.36000000004</v>
      </c>
      <c r="E21" s="87">
        <f>496200-84.79-74.42</f>
        <v>496040.79000000004</v>
      </c>
      <c r="F21" s="88">
        <f>C21+D21-E21</f>
        <v>43339.640000000014</v>
      </c>
    </row>
    <row r="22" spans="2:6" s="73" customFormat="1" ht="12.75">
      <c r="B22" s="85" t="s">
        <v>59</v>
      </c>
      <c r="C22" s="100">
        <v>11505.38</v>
      </c>
      <c r="D22" s="101">
        <v>133013.97</v>
      </c>
      <c r="E22" s="87">
        <v>134200</v>
      </c>
      <c r="F22" s="88">
        <f>C22+D22-E22</f>
        <v>10319.350000000006</v>
      </c>
    </row>
    <row r="23" spans="2:12" ht="12.75">
      <c r="B23" s="85" t="s">
        <v>60</v>
      </c>
      <c r="C23" s="100">
        <v>-542</v>
      </c>
      <c r="D23" s="87">
        <f>6264+368</f>
        <v>6632</v>
      </c>
      <c r="E23" s="87">
        <v>6264</v>
      </c>
      <c r="F23" s="88">
        <f>C23+D23-E23</f>
        <v>-174</v>
      </c>
      <c r="G23" s="79"/>
      <c r="H23" s="79"/>
      <c r="I23" s="102"/>
      <c r="J23" s="79"/>
      <c r="K23" s="79"/>
      <c r="L23" s="79"/>
    </row>
    <row r="24" spans="2:12" ht="12.75">
      <c r="B24" s="85" t="s">
        <v>61</v>
      </c>
      <c r="C24" s="100">
        <v>2995.3</v>
      </c>
      <c r="D24" s="87">
        <f>18608.02-18*24</f>
        <v>18176.02</v>
      </c>
      <c r="E24" s="87">
        <f>20066.04-11*18-13*18</f>
        <v>19634.04</v>
      </c>
      <c r="F24" s="88">
        <f>C24+D24-E24</f>
        <v>1537.2799999999988</v>
      </c>
      <c r="G24" s="103"/>
      <c r="H24" s="79"/>
      <c r="I24" s="79"/>
      <c r="J24" s="79"/>
      <c r="K24" s="79"/>
      <c r="L24" s="79"/>
    </row>
    <row r="25" spans="2:12" ht="14.25" thickBot="1">
      <c r="B25" s="104" t="s">
        <v>55</v>
      </c>
      <c r="C25" s="105">
        <f>SUM(C20:C24)</f>
        <v>179941.25</v>
      </c>
      <c r="D25" s="106">
        <f>SUM(D20:D24)</f>
        <v>1183379.4100000001</v>
      </c>
      <c r="E25" s="106">
        <f>SUM(E20:E24)</f>
        <v>1159807.53</v>
      </c>
      <c r="F25" s="107">
        <f>SUM(F20:F24)</f>
        <v>203513.13000000006</v>
      </c>
      <c r="G25" s="103"/>
      <c r="H25" s="79"/>
      <c r="I25" s="79"/>
      <c r="J25" s="79"/>
      <c r="K25" s="79"/>
      <c r="L25" s="79"/>
    </row>
    <row r="26" spans="2:12" ht="12.75">
      <c r="B26" s="108" t="s">
        <v>1</v>
      </c>
      <c r="C26" s="109">
        <v>59371.06</v>
      </c>
      <c r="D26" s="109">
        <f>6000*12</f>
        <v>72000</v>
      </c>
      <c r="E26" s="109">
        <f>99000-12000</f>
        <v>87000</v>
      </c>
      <c r="F26" s="110">
        <f>C26+D26-E26</f>
        <v>44371.06</v>
      </c>
      <c r="G26" s="99"/>
      <c r="H26" s="79"/>
      <c r="I26" s="79"/>
      <c r="J26" s="79"/>
      <c r="K26" s="79"/>
      <c r="L26" s="79"/>
    </row>
    <row r="27" spans="2:12" ht="12.75">
      <c r="B27" s="111" t="s">
        <v>4</v>
      </c>
      <c r="C27" s="112">
        <v>11040.1</v>
      </c>
      <c r="D27" s="113">
        <f>4000*12</f>
        <v>48000</v>
      </c>
      <c r="E27" s="113">
        <f>50500-452</f>
        <v>50048</v>
      </c>
      <c r="F27" s="88">
        <f>C27+D27-E27</f>
        <v>8992.099999999999</v>
      </c>
      <c r="G27" s="99"/>
      <c r="H27" s="79"/>
      <c r="I27" s="79"/>
      <c r="J27" s="79"/>
      <c r="K27" s="79"/>
      <c r="L27" s="79"/>
    </row>
    <row r="28" spans="2:12" ht="12.75">
      <c r="B28" s="114" t="s">
        <v>18</v>
      </c>
      <c r="C28" s="115">
        <v>7200</v>
      </c>
      <c r="D28" s="91">
        <f>1500*12</f>
        <v>18000</v>
      </c>
      <c r="E28" s="91">
        <f>9750+12800+450+1050</f>
        <v>24050</v>
      </c>
      <c r="F28" s="88">
        <f>C28+D28-E28</f>
        <v>1150</v>
      </c>
      <c r="G28" s="99"/>
      <c r="H28" s="79"/>
      <c r="I28" s="79"/>
      <c r="J28" s="79"/>
      <c r="K28" s="79"/>
      <c r="L28" s="79"/>
    </row>
    <row r="29" spans="2:12" ht="12.75">
      <c r="B29" s="114" t="s">
        <v>19</v>
      </c>
      <c r="C29" s="115">
        <v>1650</v>
      </c>
      <c r="D29" s="91">
        <f>1700*12</f>
        <v>20400</v>
      </c>
      <c r="E29" s="91">
        <v>19400</v>
      </c>
      <c r="F29" s="88">
        <f>C29+D29-E29</f>
        <v>2650</v>
      </c>
      <c r="G29" s="99"/>
      <c r="H29" s="79"/>
      <c r="I29" s="79"/>
      <c r="J29" s="79"/>
      <c r="K29" s="79"/>
      <c r="L29" s="79"/>
    </row>
    <row r="30" spans="2:12" ht="12.75">
      <c r="B30" s="114" t="s">
        <v>5</v>
      </c>
      <c r="C30" s="115">
        <v>0</v>
      </c>
      <c r="D30" s="115">
        <v>12000</v>
      </c>
      <c r="E30" s="115">
        <v>12000</v>
      </c>
      <c r="F30" s="88">
        <f>C30+D30-E30</f>
        <v>0</v>
      </c>
      <c r="G30" s="99"/>
      <c r="H30" s="79"/>
      <c r="I30" s="79"/>
      <c r="J30" s="79"/>
      <c r="K30" s="79"/>
      <c r="L30" s="79"/>
    </row>
    <row r="31" spans="2:12" ht="14.25" thickBot="1">
      <c r="B31" s="116" t="s">
        <v>55</v>
      </c>
      <c r="C31" s="117">
        <f>SUM(C26:C30)</f>
        <v>79261.16</v>
      </c>
      <c r="D31" s="117">
        <f>SUM(D26:D30)</f>
        <v>170400</v>
      </c>
      <c r="E31" s="117">
        <f>SUM(E26:E30)</f>
        <v>192498</v>
      </c>
      <c r="F31" s="118">
        <f>SUM(F26:F30)</f>
        <v>57163.159999999996</v>
      </c>
      <c r="G31" s="103"/>
      <c r="H31" s="79"/>
      <c r="I31" s="79"/>
      <c r="J31" s="79"/>
      <c r="K31" s="79"/>
      <c r="L31" s="79"/>
    </row>
    <row r="32" spans="2:12" ht="13.5">
      <c r="B32" s="206" t="s">
        <v>62</v>
      </c>
      <c r="C32" s="207"/>
      <c r="D32" s="119" t="s">
        <v>63</v>
      </c>
      <c r="E32" s="119" t="s">
        <v>64</v>
      </c>
      <c r="F32" s="120" t="s">
        <v>65</v>
      </c>
      <c r="G32" s="79"/>
      <c r="H32" s="79"/>
      <c r="I32" s="79"/>
      <c r="J32" s="79"/>
      <c r="K32" s="79"/>
      <c r="L32" s="79"/>
    </row>
    <row r="33" spans="2:12" ht="12.75">
      <c r="B33" s="208" t="s">
        <v>66</v>
      </c>
      <c r="C33" s="209"/>
      <c r="D33" s="121">
        <f>165803.88-D27-D26</f>
        <v>45803.880000000005</v>
      </c>
      <c r="E33" s="86">
        <f>35239.9+28258.6-1345-1242-621-321-207-300-20.69-14898+22.99+1602+687-1064.9-0.03</f>
        <v>45790.869999999995</v>
      </c>
      <c r="F33" s="122">
        <f>D33-E33</f>
        <v>13.010000000009313</v>
      </c>
      <c r="G33" s="79"/>
      <c r="H33" s="79"/>
      <c r="I33" s="79"/>
      <c r="J33" s="79"/>
      <c r="K33" s="79"/>
      <c r="L33" s="79"/>
    </row>
    <row r="34" spans="2:12" ht="12.75">
      <c r="B34" s="204" t="s">
        <v>10</v>
      </c>
      <c r="C34" s="205"/>
      <c r="D34" s="121">
        <v>20000</v>
      </c>
      <c r="E34" s="56">
        <f>C35</f>
        <v>20220</v>
      </c>
      <c r="F34" s="122">
        <f>D34-C35</f>
        <v>-220</v>
      </c>
      <c r="G34" s="79"/>
      <c r="H34" s="79"/>
      <c r="I34" s="79"/>
      <c r="J34" s="79"/>
      <c r="K34" s="79"/>
      <c r="L34" s="79"/>
    </row>
    <row r="35" spans="2:12" ht="12.75">
      <c r="B35" s="142" t="s">
        <v>103</v>
      </c>
      <c r="C35" s="146">
        <v>20220</v>
      </c>
      <c r="D35" s="121"/>
      <c r="F35" s="122"/>
      <c r="G35" s="79"/>
      <c r="H35" s="79"/>
      <c r="I35" s="79"/>
      <c r="J35" s="79"/>
      <c r="K35" s="79"/>
      <c r="L35" s="79"/>
    </row>
    <row r="36" spans="2:12" ht="12.75">
      <c r="B36" s="204" t="s">
        <v>20</v>
      </c>
      <c r="C36" s="205"/>
      <c r="D36" s="121">
        <v>25000</v>
      </c>
      <c r="E36" s="56">
        <f>C37</f>
        <v>9943.27</v>
      </c>
      <c r="F36" s="122">
        <f>D36-E36</f>
        <v>15056.73</v>
      </c>
      <c r="G36" s="79"/>
      <c r="H36" s="79"/>
      <c r="I36" s="79"/>
      <c r="J36" s="79"/>
      <c r="K36" s="79"/>
      <c r="L36" s="79"/>
    </row>
    <row r="37" spans="2:12" ht="12.75">
      <c r="B37" s="142" t="s">
        <v>102</v>
      </c>
      <c r="C37" s="146">
        <v>9943.27</v>
      </c>
      <c r="D37" s="121"/>
      <c r="F37" s="122"/>
      <c r="G37" s="79"/>
      <c r="H37" s="79"/>
      <c r="I37" s="79"/>
      <c r="J37" s="79"/>
      <c r="K37" s="79"/>
      <c r="L37" s="79"/>
    </row>
    <row r="38" spans="2:12" ht="12.75">
      <c r="B38" s="204" t="s">
        <v>12</v>
      </c>
      <c r="C38" s="205"/>
      <c r="D38" s="121">
        <v>12000</v>
      </c>
      <c r="E38" s="56">
        <v>12000</v>
      </c>
      <c r="F38" s="122">
        <f>D38-E38</f>
        <v>0</v>
      </c>
      <c r="G38" s="79"/>
      <c r="H38" s="79"/>
      <c r="I38" s="79"/>
      <c r="J38" s="79"/>
      <c r="K38" s="79"/>
      <c r="L38" s="79"/>
    </row>
    <row r="39" spans="2:12" ht="12.75">
      <c r="B39" s="204" t="s">
        <v>13</v>
      </c>
      <c r="C39" s="205"/>
      <c r="D39" s="121">
        <v>8000</v>
      </c>
      <c r="E39" s="56">
        <v>6500</v>
      </c>
      <c r="F39" s="122">
        <f>D39-E39</f>
        <v>1500</v>
      </c>
      <c r="G39" s="79"/>
      <c r="H39" s="79"/>
      <c r="I39" s="79"/>
      <c r="J39" s="79"/>
      <c r="K39" s="79"/>
      <c r="L39" s="79"/>
    </row>
    <row r="40" spans="2:12" ht="12.75">
      <c r="B40" s="202" t="s">
        <v>32</v>
      </c>
      <c r="C40" s="203"/>
      <c r="D40" s="121">
        <v>5000</v>
      </c>
      <c r="E40" s="56">
        <f>SUM(C41:C44)</f>
        <v>3572.6</v>
      </c>
      <c r="F40" s="122">
        <f>D40-E40</f>
        <v>1427.4</v>
      </c>
      <c r="G40" s="79"/>
      <c r="H40" s="79"/>
      <c r="I40" s="79"/>
      <c r="J40" s="79"/>
      <c r="K40" s="79"/>
      <c r="L40" s="79"/>
    </row>
    <row r="41" spans="2:12" s="143" customFormat="1" ht="12.75">
      <c r="B41" s="142" t="s">
        <v>87</v>
      </c>
      <c r="C41" s="149">
        <f>11*18+13*18</f>
        <v>432</v>
      </c>
      <c r="D41" s="145"/>
      <c r="E41" s="146"/>
      <c r="F41" s="147"/>
      <c r="G41" s="148"/>
      <c r="H41" s="148"/>
      <c r="I41" s="148"/>
      <c r="J41" s="148"/>
      <c r="K41" s="148"/>
      <c r="L41" s="148"/>
    </row>
    <row r="42" spans="2:12" s="143" customFormat="1" ht="12.75">
      <c r="B42" s="150" t="s">
        <v>120</v>
      </c>
      <c r="C42" s="149">
        <v>1545.6</v>
      </c>
      <c r="D42" s="145"/>
      <c r="E42" s="146"/>
      <c r="F42" s="147"/>
      <c r="G42" s="148"/>
      <c r="H42" s="148"/>
      <c r="I42" s="148"/>
      <c r="J42" s="148"/>
      <c r="K42" s="148"/>
      <c r="L42" s="148"/>
    </row>
    <row r="43" spans="2:12" s="143" customFormat="1" ht="12.75">
      <c r="B43" s="150" t="s">
        <v>98</v>
      </c>
      <c r="C43" s="149">
        <v>690</v>
      </c>
      <c r="D43" s="145"/>
      <c r="E43" s="146"/>
      <c r="F43" s="147"/>
      <c r="G43" s="148"/>
      <c r="H43" s="148"/>
      <c r="I43" s="148"/>
      <c r="J43" s="148"/>
      <c r="K43" s="148"/>
      <c r="L43" s="148"/>
    </row>
    <row r="44" spans="2:12" s="143" customFormat="1" ht="12.75">
      <c r="B44" s="150" t="s">
        <v>99</v>
      </c>
      <c r="C44" s="149">
        <v>905</v>
      </c>
      <c r="D44" s="145"/>
      <c r="E44" s="146"/>
      <c r="F44" s="147"/>
      <c r="G44" s="148"/>
      <c r="H44" s="148"/>
      <c r="I44" s="148"/>
      <c r="J44" s="148"/>
      <c r="K44" s="148"/>
      <c r="L44" s="148"/>
    </row>
    <row r="45" spans="2:12" ht="12.75">
      <c r="B45" s="202" t="s">
        <v>33</v>
      </c>
      <c r="C45" s="203"/>
      <c r="D45" s="121">
        <v>6000</v>
      </c>
      <c r="E45" s="56">
        <f>SUM(C46:C57)</f>
        <v>7216.59</v>
      </c>
      <c r="F45" s="122">
        <f>D45-E45</f>
        <v>-1216.5900000000001</v>
      </c>
      <c r="G45" s="79"/>
      <c r="H45" s="79"/>
      <c r="I45" s="79"/>
      <c r="J45" s="79"/>
      <c r="K45" s="79"/>
      <c r="L45" s="79"/>
    </row>
    <row r="46" spans="2:12" s="143" customFormat="1" ht="12.75">
      <c r="B46" s="150" t="s">
        <v>105</v>
      </c>
      <c r="C46" s="149">
        <v>1121</v>
      </c>
      <c r="D46" s="145"/>
      <c r="E46" s="146"/>
      <c r="F46" s="147"/>
      <c r="G46" s="148"/>
      <c r="H46" s="148"/>
      <c r="I46" s="148"/>
      <c r="J46" s="148"/>
      <c r="K46" s="148"/>
      <c r="L46" s="148"/>
    </row>
    <row r="47" spans="2:12" s="143" customFormat="1" ht="38.25">
      <c r="B47" s="150" t="s">
        <v>113</v>
      </c>
      <c r="C47" s="149">
        <f>615.1+70+835</f>
        <v>1520.1</v>
      </c>
      <c r="D47" s="145"/>
      <c r="E47" s="146"/>
      <c r="F47" s="147"/>
      <c r="G47" s="148"/>
      <c r="H47" s="148"/>
      <c r="I47" s="148"/>
      <c r="J47" s="148"/>
      <c r="K47" s="148"/>
      <c r="L47" s="148"/>
    </row>
    <row r="48" spans="2:12" s="143" customFormat="1" ht="12.75">
      <c r="B48" s="150" t="s">
        <v>97</v>
      </c>
      <c r="C48" s="149">
        <v>500</v>
      </c>
      <c r="D48" s="145"/>
      <c r="E48" s="146"/>
      <c r="F48" s="147"/>
      <c r="G48" s="148"/>
      <c r="H48" s="148"/>
      <c r="I48" s="148"/>
      <c r="J48" s="148"/>
      <c r="K48" s="148"/>
      <c r="L48" s="148"/>
    </row>
    <row r="49" spans="2:12" s="143" customFormat="1" ht="25.5">
      <c r="B49" s="150" t="s">
        <v>106</v>
      </c>
      <c r="C49" s="149">
        <v>971.43</v>
      </c>
      <c r="D49" s="145"/>
      <c r="E49" s="146"/>
      <c r="F49" s="147"/>
      <c r="G49" s="148"/>
      <c r="H49" s="148"/>
      <c r="I49" s="148"/>
      <c r="J49" s="148"/>
      <c r="K49" s="148"/>
      <c r="L49" s="148"/>
    </row>
    <row r="50" spans="2:12" s="143" customFormat="1" ht="12.75">
      <c r="B50" s="150" t="s">
        <v>107</v>
      </c>
      <c r="C50" s="149">
        <v>240.06</v>
      </c>
      <c r="D50" s="145"/>
      <c r="E50" s="146"/>
      <c r="F50" s="147"/>
      <c r="G50" s="148"/>
      <c r="H50" s="148"/>
      <c r="I50" s="148"/>
      <c r="J50" s="148"/>
      <c r="K50" s="148"/>
      <c r="L50" s="148"/>
    </row>
    <row r="51" spans="2:12" s="143" customFormat="1" ht="12.75">
      <c r="B51" s="150" t="s">
        <v>100</v>
      </c>
      <c r="C51" s="149">
        <v>180</v>
      </c>
      <c r="D51" s="145"/>
      <c r="E51" s="146"/>
      <c r="F51" s="147"/>
      <c r="G51" s="148"/>
      <c r="H51" s="148"/>
      <c r="I51" s="148"/>
      <c r="J51" s="148"/>
      <c r="K51" s="148"/>
      <c r="L51" s="148"/>
    </row>
    <row r="52" spans="2:12" s="143" customFormat="1" ht="12.75">
      <c r="B52" s="150" t="s">
        <v>108</v>
      </c>
      <c r="C52" s="149">
        <v>240</v>
      </c>
      <c r="D52" s="145"/>
      <c r="E52" s="146"/>
      <c r="F52" s="147"/>
      <c r="G52" s="148"/>
      <c r="H52" s="148"/>
      <c r="I52" s="148"/>
      <c r="J52" s="148"/>
      <c r="K52" s="148"/>
      <c r="L52" s="148"/>
    </row>
    <row r="53" spans="2:12" s="143" customFormat="1" ht="12.75">
      <c r="B53" s="150" t="s">
        <v>109</v>
      </c>
      <c r="C53" s="149">
        <v>678</v>
      </c>
      <c r="D53" s="145"/>
      <c r="E53" s="146"/>
      <c r="F53" s="147"/>
      <c r="G53" s="148"/>
      <c r="H53" s="148"/>
      <c r="I53" s="148"/>
      <c r="J53" s="148"/>
      <c r="K53" s="148"/>
      <c r="L53" s="148"/>
    </row>
    <row r="54" spans="2:12" s="143" customFormat="1" ht="12.75">
      <c r="B54" s="150" t="s">
        <v>101</v>
      </c>
      <c r="C54" s="149">
        <v>663</v>
      </c>
      <c r="D54" s="145"/>
      <c r="E54" s="146"/>
      <c r="F54" s="147"/>
      <c r="G54" s="148"/>
      <c r="H54" s="148"/>
      <c r="I54" s="148"/>
      <c r="J54" s="148"/>
      <c r="K54" s="148"/>
      <c r="L54" s="148"/>
    </row>
    <row r="55" spans="2:12" s="143" customFormat="1" ht="12.75">
      <c r="B55" s="150" t="s">
        <v>110</v>
      </c>
      <c r="C55" s="149">
        <v>108</v>
      </c>
      <c r="D55" s="145"/>
      <c r="E55" s="146"/>
      <c r="F55" s="147"/>
      <c r="G55" s="148"/>
      <c r="H55" s="148"/>
      <c r="I55" s="148"/>
      <c r="J55" s="148"/>
      <c r="K55" s="148"/>
      <c r="L55" s="148"/>
    </row>
    <row r="56" spans="2:12" s="143" customFormat="1" ht="12.75">
      <c r="B56" s="150" t="s">
        <v>114</v>
      </c>
      <c r="C56" s="149">
        <v>345</v>
      </c>
      <c r="D56" s="145"/>
      <c r="E56" s="146"/>
      <c r="F56" s="147"/>
      <c r="G56" s="148"/>
      <c r="H56" s="148"/>
      <c r="I56" s="148"/>
      <c r="J56" s="148"/>
      <c r="K56" s="148"/>
      <c r="L56" s="148"/>
    </row>
    <row r="57" spans="2:12" s="143" customFormat="1" ht="12.75">
      <c r="B57" s="150" t="s">
        <v>115</v>
      </c>
      <c r="C57" s="149">
        <v>650</v>
      </c>
      <c r="D57" s="145"/>
      <c r="E57" s="146"/>
      <c r="F57" s="147"/>
      <c r="G57" s="148"/>
      <c r="H57" s="148"/>
      <c r="I57" s="148"/>
      <c r="J57" s="148"/>
      <c r="K57" s="148"/>
      <c r="L57" s="148"/>
    </row>
    <row r="58" spans="2:12" ht="12.75">
      <c r="B58" s="204" t="s">
        <v>11</v>
      </c>
      <c r="C58" s="205"/>
      <c r="D58" s="121">
        <v>10000</v>
      </c>
      <c r="E58" s="56">
        <f>SUM(C59:C67)</f>
        <v>25777.91</v>
      </c>
      <c r="F58" s="122">
        <f>D58-E58</f>
        <v>-15777.91</v>
      </c>
      <c r="G58" s="79"/>
      <c r="H58" s="79"/>
      <c r="I58" s="79"/>
      <c r="J58" s="79"/>
      <c r="K58" s="79"/>
      <c r="L58" s="79"/>
    </row>
    <row r="59" spans="2:12" s="143" customFormat="1" ht="12.75">
      <c r="B59" s="142" t="s">
        <v>90</v>
      </c>
      <c r="C59" s="144">
        <f>3000-1050</f>
        <v>1950</v>
      </c>
      <c r="D59" s="145"/>
      <c r="E59" s="146"/>
      <c r="F59" s="147"/>
      <c r="G59" s="148"/>
      <c r="H59" s="148"/>
      <c r="I59" s="148"/>
      <c r="J59" s="148"/>
      <c r="K59" s="148"/>
      <c r="L59" s="148"/>
    </row>
    <row r="60" spans="2:12" s="143" customFormat="1" ht="12.75">
      <c r="B60" s="142" t="s">
        <v>91</v>
      </c>
      <c r="C60" s="144">
        <v>7500</v>
      </c>
      <c r="D60" s="145"/>
      <c r="E60" s="146"/>
      <c r="F60" s="147"/>
      <c r="G60" s="148"/>
      <c r="H60" s="148"/>
      <c r="I60" s="148"/>
      <c r="J60" s="148"/>
      <c r="K60" s="148"/>
      <c r="L60" s="148"/>
    </row>
    <row r="61" spans="2:12" s="143" customFormat="1" ht="12.75">
      <c r="B61" s="142" t="s">
        <v>122</v>
      </c>
      <c r="C61" s="144">
        <v>10000</v>
      </c>
      <c r="D61" s="145"/>
      <c r="E61" s="146"/>
      <c r="F61" s="147"/>
      <c r="G61" s="148"/>
      <c r="H61" s="148"/>
      <c r="I61" s="148"/>
      <c r="J61" s="148"/>
      <c r="K61" s="148"/>
      <c r="L61" s="148"/>
    </row>
    <row r="62" spans="2:12" s="143" customFormat="1" ht="12.75">
      <c r="B62" s="142" t="s">
        <v>94</v>
      </c>
      <c r="C62" s="144">
        <v>1000</v>
      </c>
      <c r="D62" s="145"/>
      <c r="E62" s="146"/>
      <c r="F62" s="147"/>
      <c r="G62" s="148"/>
      <c r="H62" s="148"/>
      <c r="I62" s="148"/>
      <c r="J62" s="148"/>
      <c r="K62" s="148"/>
      <c r="L62" s="148"/>
    </row>
    <row r="63" spans="2:12" s="143" customFormat="1" ht="12.75">
      <c r="B63" s="142" t="s">
        <v>95</v>
      </c>
      <c r="C63" s="144">
        <v>1000</v>
      </c>
      <c r="D63" s="145"/>
      <c r="E63" s="146"/>
      <c r="F63" s="147"/>
      <c r="G63" s="148"/>
      <c r="H63" s="148"/>
      <c r="I63" s="148"/>
      <c r="J63" s="148"/>
      <c r="K63" s="148"/>
      <c r="L63" s="148"/>
    </row>
    <row r="64" spans="2:12" s="143" customFormat="1" ht="12.75">
      <c r="B64" s="142" t="s">
        <v>96</v>
      </c>
      <c r="C64" s="144">
        <v>3100</v>
      </c>
      <c r="D64" s="145"/>
      <c r="E64" s="146"/>
      <c r="F64" s="147"/>
      <c r="G64" s="148"/>
      <c r="H64" s="148"/>
      <c r="I64" s="148"/>
      <c r="J64" s="148"/>
      <c r="K64" s="148"/>
      <c r="L64" s="148"/>
    </row>
    <row r="65" spans="2:12" s="143" customFormat="1" ht="12.75">
      <c r="B65" s="142" t="s">
        <v>88</v>
      </c>
      <c r="C65" s="144">
        <v>1068.7</v>
      </c>
      <c r="D65" s="145"/>
      <c r="E65" s="146"/>
      <c r="F65" s="147"/>
      <c r="G65" s="148"/>
      <c r="H65" s="148"/>
      <c r="I65" s="148"/>
      <c r="J65" s="148"/>
      <c r="K65" s="148"/>
      <c r="L65" s="148"/>
    </row>
    <row r="66" spans="2:12" s="143" customFormat="1" ht="12.75">
      <c r="B66" s="142" t="s">
        <v>89</v>
      </c>
      <c r="C66" s="144">
        <f>84.79+74.42</f>
        <v>159.21</v>
      </c>
      <c r="D66" s="145"/>
      <c r="E66" s="146"/>
      <c r="F66" s="147"/>
      <c r="G66" s="148"/>
      <c r="H66" s="148"/>
      <c r="I66" s="148"/>
      <c r="J66" s="148"/>
      <c r="K66" s="148"/>
      <c r="L66" s="148"/>
    </row>
    <row r="67" spans="2:12" s="143" customFormat="1" ht="12.75">
      <c r="B67" s="142"/>
      <c r="C67" s="144"/>
      <c r="D67" s="145"/>
      <c r="E67" s="146"/>
      <c r="F67" s="147"/>
      <c r="G67" s="148"/>
      <c r="H67" s="148"/>
      <c r="I67" s="148"/>
      <c r="J67" s="148"/>
      <c r="K67" s="148"/>
      <c r="L67" s="148"/>
    </row>
    <row r="68" spans="2:12" ht="12.75">
      <c r="B68" s="204" t="s">
        <v>15</v>
      </c>
      <c r="C68" s="205"/>
      <c r="D68" s="121">
        <v>3600</v>
      </c>
      <c r="E68" s="56">
        <v>3850</v>
      </c>
      <c r="F68" s="122">
        <f>D68-E68</f>
        <v>-250</v>
      </c>
      <c r="G68" s="79"/>
      <c r="H68" s="79"/>
      <c r="I68" s="79"/>
      <c r="J68" s="79"/>
      <c r="K68" s="79"/>
      <c r="L68" s="79"/>
    </row>
    <row r="69" spans="2:12" ht="12.75">
      <c r="B69" s="204" t="s">
        <v>14</v>
      </c>
      <c r="C69" s="205"/>
      <c r="D69" s="121">
        <v>18000</v>
      </c>
      <c r="E69" s="56">
        <v>16554</v>
      </c>
      <c r="F69" s="122">
        <f>D69-E69</f>
        <v>1446</v>
      </c>
      <c r="G69" s="79"/>
      <c r="H69" s="79"/>
      <c r="I69" s="79"/>
      <c r="J69" s="79"/>
      <c r="K69" s="79"/>
      <c r="L69" s="79"/>
    </row>
    <row r="70" spans="2:12" ht="12.75">
      <c r="B70" s="204" t="s">
        <v>67</v>
      </c>
      <c r="C70" s="205"/>
      <c r="D70" s="121">
        <v>4000</v>
      </c>
      <c r="E70" s="56">
        <f>SUM(C71:C73)</f>
        <v>4227.03</v>
      </c>
      <c r="F70" s="122">
        <f>D70-E70</f>
        <v>-227.02999999999975</v>
      </c>
      <c r="G70" s="79"/>
      <c r="H70" s="79"/>
      <c r="I70" s="79"/>
      <c r="J70" s="79"/>
      <c r="K70" s="79"/>
      <c r="L70" s="79"/>
    </row>
    <row r="71" spans="2:12" s="143" customFormat="1" ht="12.75">
      <c r="B71" s="123" t="s">
        <v>92</v>
      </c>
      <c r="C71" s="151">
        <v>500</v>
      </c>
      <c r="D71" s="125"/>
      <c r="E71" s="152"/>
      <c r="F71" s="153"/>
      <c r="G71" s="148"/>
      <c r="H71" s="148"/>
      <c r="I71" s="148"/>
      <c r="J71" s="148"/>
      <c r="K71" s="148"/>
      <c r="L71" s="148"/>
    </row>
    <row r="72" spans="2:12" s="143" customFormat="1" ht="12.75">
      <c r="B72" s="123" t="s">
        <v>93</v>
      </c>
      <c r="C72" s="151">
        <v>3000</v>
      </c>
      <c r="D72" s="125"/>
      <c r="E72" s="152"/>
      <c r="F72" s="153"/>
      <c r="G72" s="148"/>
      <c r="H72" s="148"/>
      <c r="I72" s="148"/>
      <c r="J72" s="148"/>
      <c r="K72" s="148"/>
      <c r="L72" s="148"/>
    </row>
    <row r="73" spans="2:12" s="143" customFormat="1" ht="12.75">
      <c r="B73" s="123" t="s">
        <v>104</v>
      </c>
      <c r="C73" s="151">
        <v>727.03</v>
      </c>
      <c r="D73" s="125"/>
      <c r="E73" s="152"/>
      <c r="F73" s="153"/>
      <c r="G73" s="148"/>
      <c r="H73" s="148"/>
      <c r="I73" s="148"/>
      <c r="J73" s="148"/>
      <c r="K73" s="148"/>
      <c r="L73" s="148"/>
    </row>
    <row r="74" spans="2:12" ht="12.75">
      <c r="B74" s="123" t="s">
        <v>30</v>
      </c>
      <c r="C74" s="124"/>
      <c r="D74" s="125">
        <f>SUM(D33:D70)</f>
        <v>157403.88</v>
      </c>
      <c r="E74" s="125">
        <f>SUM(E33:E70)</f>
        <v>155652.27</v>
      </c>
      <c r="F74" s="126">
        <f>SUM(F33:F70)</f>
        <v>1751.6100000000106</v>
      </c>
      <c r="G74" s="79"/>
      <c r="H74" s="79"/>
      <c r="I74" s="79"/>
      <c r="J74" s="79"/>
      <c r="K74" s="79"/>
      <c r="L74" s="79"/>
    </row>
    <row r="75" spans="2:12" ht="14.25" thickBot="1">
      <c r="B75" s="190" t="s">
        <v>55</v>
      </c>
      <c r="C75" s="191"/>
      <c r="D75" s="127">
        <f>SUM(D33:D70)+D31</f>
        <v>327803.88</v>
      </c>
      <c r="E75" s="127">
        <f>SUM(E33:E70)+E31</f>
        <v>348150.27</v>
      </c>
      <c r="F75" s="128">
        <f>D75-E75</f>
        <v>-20346.390000000014</v>
      </c>
      <c r="G75" s="79"/>
      <c r="H75" s="79"/>
      <c r="I75" s="79"/>
      <c r="J75" s="79"/>
      <c r="K75" s="79"/>
      <c r="L75" s="79"/>
    </row>
    <row r="76" spans="2:12" ht="13.5" thickBot="1">
      <c r="B76" s="192" t="s">
        <v>68</v>
      </c>
      <c r="C76" s="193"/>
      <c r="D76" s="194">
        <f>E25+E75</f>
        <v>1507957.8</v>
      </c>
      <c r="E76" s="195"/>
      <c r="F76" s="196"/>
      <c r="G76" s="79"/>
      <c r="H76" s="79"/>
      <c r="I76" s="79"/>
      <c r="J76" s="79"/>
      <c r="K76" s="79"/>
      <c r="L76" s="79"/>
    </row>
    <row r="77" spans="2:12" ht="13.5" thickBot="1">
      <c r="B77" s="129"/>
      <c r="C77" s="129"/>
      <c r="D77" s="130"/>
      <c r="E77" s="130"/>
      <c r="F77" s="130"/>
      <c r="G77" s="79"/>
      <c r="H77" s="79"/>
      <c r="I77" s="79"/>
      <c r="J77" s="79"/>
      <c r="K77" s="79"/>
      <c r="L77" s="79"/>
    </row>
    <row r="78" spans="2:12" ht="13.5" thickBot="1">
      <c r="B78" s="197" t="s">
        <v>69</v>
      </c>
      <c r="C78" s="198"/>
      <c r="D78" s="198"/>
      <c r="E78" s="198"/>
      <c r="F78" s="199"/>
      <c r="G78" s="79"/>
      <c r="H78" s="79"/>
      <c r="I78" s="79"/>
      <c r="J78" s="79"/>
      <c r="K78" s="79"/>
      <c r="L78" s="79"/>
    </row>
    <row r="79" spans="2:12" ht="12.75">
      <c r="B79" s="108" t="s">
        <v>70</v>
      </c>
      <c r="C79" s="131"/>
      <c r="D79" s="200">
        <v>90261</v>
      </c>
      <c r="E79" s="200"/>
      <c r="F79" s="201"/>
      <c r="G79" s="79"/>
      <c r="H79" s="79"/>
      <c r="I79" s="79"/>
      <c r="J79" s="79"/>
      <c r="K79" s="79"/>
      <c r="L79" s="79"/>
    </row>
    <row r="80" spans="2:12" ht="12.75">
      <c r="B80" s="182" t="s">
        <v>71</v>
      </c>
      <c r="C80" s="183"/>
      <c r="D80" s="184">
        <f>F74</f>
        <v>1751.6100000000106</v>
      </c>
      <c r="E80" s="184"/>
      <c r="F80" s="185"/>
      <c r="G80" s="79"/>
      <c r="H80" s="79"/>
      <c r="I80" s="79"/>
      <c r="J80" s="79"/>
      <c r="K80" s="79"/>
      <c r="L80" s="79"/>
    </row>
    <row r="81" spans="2:12" ht="13.5" thickBot="1">
      <c r="B81" s="182" t="s">
        <v>72</v>
      </c>
      <c r="C81" s="183"/>
      <c r="D81" s="184">
        <f>D79+D80</f>
        <v>92012.61000000002</v>
      </c>
      <c r="E81" s="184"/>
      <c r="F81" s="185"/>
      <c r="G81" s="79"/>
      <c r="H81" s="79"/>
      <c r="I81" s="79"/>
      <c r="J81" s="79"/>
      <c r="K81" s="79"/>
      <c r="L81" s="79"/>
    </row>
    <row r="82" spans="2:12" ht="13.5" thickBot="1">
      <c r="B82" s="186" t="s">
        <v>73</v>
      </c>
      <c r="C82" s="187"/>
      <c r="D82" s="188">
        <f>D81</f>
        <v>92012.61000000002</v>
      </c>
      <c r="E82" s="188"/>
      <c r="F82" s="189"/>
      <c r="G82" s="79"/>
      <c r="H82" s="79"/>
      <c r="I82" s="79"/>
      <c r="J82" s="79"/>
      <c r="K82" s="79"/>
      <c r="L82" s="79"/>
    </row>
    <row r="83" spans="2:12" ht="12.75" customHeight="1" thickBot="1">
      <c r="B83" s="129"/>
      <c r="C83" s="129"/>
      <c r="D83" s="80"/>
      <c r="E83" s="80"/>
      <c r="F83" s="80"/>
      <c r="G83" s="79"/>
      <c r="H83" s="79"/>
      <c r="I83" s="79"/>
      <c r="J83" s="79"/>
      <c r="K83" s="79"/>
      <c r="L83" s="79"/>
    </row>
    <row r="84" spans="2:12" ht="13.5" thickBot="1">
      <c r="B84" s="132" t="s">
        <v>74</v>
      </c>
      <c r="C84" s="133"/>
      <c r="D84" s="133"/>
      <c r="E84" s="133"/>
      <c r="F84" s="134"/>
      <c r="G84" s="79"/>
      <c r="H84" s="79"/>
      <c r="I84" s="79"/>
      <c r="J84" s="79"/>
      <c r="K84" s="79"/>
      <c r="L84" s="79"/>
    </row>
    <row r="85" spans="2:12" ht="12.75">
      <c r="B85" s="168" t="s">
        <v>116</v>
      </c>
      <c r="C85" s="169"/>
      <c r="D85" s="170">
        <f>C31</f>
        <v>79261.16</v>
      </c>
      <c r="E85" s="171"/>
      <c r="F85" s="172"/>
      <c r="G85" s="79"/>
      <c r="H85" s="79"/>
      <c r="I85" s="79"/>
      <c r="J85" s="79"/>
      <c r="K85" s="79"/>
      <c r="L85" s="79"/>
    </row>
    <row r="86" spans="2:12" ht="13.5">
      <c r="B86" s="173"/>
      <c r="C86" s="174"/>
      <c r="D86" s="135" t="s">
        <v>51</v>
      </c>
      <c r="E86" s="135" t="s">
        <v>75</v>
      </c>
      <c r="F86" s="136" t="s">
        <v>76</v>
      </c>
      <c r="G86" s="79"/>
      <c r="H86" s="79"/>
      <c r="I86" s="79"/>
      <c r="J86" s="79"/>
      <c r="K86" s="79"/>
      <c r="L86" s="79"/>
    </row>
    <row r="87" spans="2:12" ht="12.75">
      <c r="B87" s="175" t="s">
        <v>117</v>
      </c>
      <c r="C87" s="176"/>
      <c r="D87" s="87">
        <f>D31</f>
        <v>170400</v>
      </c>
      <c r="E87" s="87">
        <f>E31</f>
        <v>192498</v>
      </c>
      <c r="F87" s="88">
        <f>D85+D87-E87</f>
        <v>57163.16</v>
      </c>
      <c r="G87" s="79"/>
      <c r="H87" s="79"/>
      <c r="I87" s="79"/>
      <c r="J87" s="79"/>
      <c r="K87" s="79"/>
      <c r="L87" s="79"/>
    </row>
    <row r="88" spans="2:12" ht="13.5" thickBot="1">
      <c r="B88" s="177" t="s">
        <v>118</v>
      </c>
      <c r="C88" s="178"/>
      <c r="D88" s="179">
        <f>D85+D87-E87</f>
        <v>57163.16</v>
      </c>
      <c r="E88" s="180"/>
      <c r="F88" s="181"/>
      <c r="G88" s="79"/>
      <c r="H88" s="79"/>
      <c r="I88" s="79"/>
      <c r="J88" s="79"/>
      <c r="K88" s="79"/>
      <c r="L88" s="79"/>
    </row>
    <row r="89" spans="2:12" ht="12.75" customHeight="1">
      <c r="B89" s="129"/>
      <c r="C89" s="129"/>
      <c r="D89" s="80"/>
      <c r="E89" s="80"/>
      <c r="F89" s="80"/>
      <c r="G89" s="79"/>
      <c r="H89" s="79"/>
      <c r="I89" s="79"/>
      <c r="J89" s="79"/>
      <c r="K89" s="79"/>
      <c r="L89" s="79"/>
    </row>
    <row r="90" spans="4:12" ht="12.75">
      <c r="D90" s="79"/>
      <c r="E90" s="79"/>
      <c r="F90" s="79"/>
      <c r="G90" s="79"/>
      <c r="H90" s="79"/>
      <c r="I90" s="79"/>
      <c r="J90" s="79"/>
      <c r="K90" s="79"/>
      <c r="L90" s="79"/>
    </row>
    <row r="91" spans="2:12" ht="15">
      <c r="B91" s="137" t="s">
        <v>77</v>
      </c>
      <c r="C91" s="137"/>
      <c r="D91" s="137"/>
      <c r="E91" s="137"/>
      <c r="F91" s="137"/>
      <c r="G91" s="79"/>
      <c r="H91" s="79"/>
      <c r="I91" s="79"/>
      <c r="J91" s="79"/>
      <c r="K91" s="79"/>
      <c r="L91" s="79"/>
    </row>
    <row r="92" spans="2:12" ht="15" customHeight="1">
      <c r="B92" s="138" t="s">
        <v>111</v>
      </c>
      <c r="C92" s="139">
        <f>F16</f>
        <v>306110.17000000016</v>
      </c>
      <c r="D92" s="139"/>
      <c r="E92" s="140"/>
      <c r="F92" s="141"/>
      <c r="G92" s="79"/>
      <c r="H92" s="79"/>
      <c r="I92" s="79"/>
      <c r="J92" s="79"/>
      <c r="K92" s="79"/>
      <c r="L92" s="79"/>
    </row>
    <row r="93" spans="2:12" ht="15" customHeight="1">
      <c r="B93" s="138" t="s">
        <v>112</v>
      </c>
      <c r="C93" s="139">
        <f>D88</f>
        <v>57163.16</v>
      </c>
      <c r="D93" s="139"/>
      <c r="E93" s="140"/>
      <c r="F93" s="141"/>
      <c r="G93" s="79"/>
      <c r="H93" s="79"/>
      <c r="I93" s="79"/>
      <c r="J93" s="79"/>
      <c r="K93" s="79"/>
      <c r="L93" s="79"/>
    </row>
    <row r="94" spans="7:12" ht="12.75">
      <c r="G94" s="79"/>
      <c r="H94" s="79"/>
      <c r="I94" s="79"/>
      <c r="J94" s="79"/>
      <c r="K94" s="79"/>
      <c r="L94" s="79"/>
    </row>
    <row r="95" ht="15.75">
      <c r="B95" s="155" t="s">
        <v>126</v>
      </c>
    </row>
    <row r="96" ht="12.75">
      <c r="D96" s="79"/>
    </row>
    <row r="97" ht="15.75">
      <c r="B97" s="155" t="s">
        <v>123</v>
      </c>
    </row>
    <row r="98" ht="15.75">
      <c r="B98" s="154" t="s">
        <v>125</v>
      </c>
    </row>
    <row r="99" ht="15.75">
      <c r="B99" s="154" t="s">
        <v>124</v>
      </c>
    </row>
    <row r="100" ht="15.75">
      <c r="B100" s="154" t="s">
        <v>127</v>
      </c>
    </row>
    <row r="101" ht="15.75">
      <c r="B101" s="154"/>
    </row>
    <row r="102" ht="15.75">
      <c r="B102" s="154"/>
    </row>
    <row r="103" ht="15.75">
      <c r="B103" s="154"/>
    </row>
    <row r="104" ht="15.75">
      <c r="B104" s="154"/>
    </row>
    <row r="105" ht="15.75">
      <c r="B105" s="154"/>
    </row>
    <row r="106" ht="15.75">
      <c r="B106" s="154"/>
    </row>
    <row r="107" ht="15.75">
      <c r="B107" s="154"/>
    </row>
  </sheetData>
  <sheetProtection/>
  <mergeCells count="42">
    <mergeCell ref="B1:F1"/>
    <mergeCell ref="A3:G3"/>
    <mergeCell ref="B5:F5"/>
    <mergeCell ref="B6:C6"/>
    <mergeCell ref="D6:F6"/>
    <mergeCell ref="B7:C7"/>
    <mergeCell ref="D7:F7"/>
    <mergeCell ref="B8:C8"/>
    <mergeCell ref="D8:F8"/>
    <mergeCell ref="B9:C9"/>
    <mergeCell ref="D9:F9"/>
    <mergeCell ref="B11:F11"/>
    <mergeCell ref="B18:F18"/>
    <mergeCell ref="B32:C32"/>
    <mergeCell ref="B33:C33"/>
    <mergeCell ref="B34:C34"/>
    <mergeCell ref="B36:C36"/>
    <mergeCell ref="B38:C38"/>
    <mergeCell ref="B39:C39"/>
    <mergeCell ref="D80:F80"/>
    <mergeCell ref="B40:C40"/>
    <mergeCell ref="B45:C45"/>
    <mergeCell ref="B58:C58"/>
    <mergeCell ref="B68:C68"/>
    <mergeCell ref="B69:C69"/>
    <mergeCell ref="B70:C70"/>
    <mergeCell ref="B81:C81"/>
    <mergeCell ref="D81:F81"/>
    <mergeCell ref="B82:C82"/>
    <mergeCell ref="D82:F82"/>
    <mergeCell ref="B75:C75"/>
    <mergeCell ref="B76:C76"/>
    <mergeCell ref="D76:F76"/>
    <mergeCell ref="B78:F78"/>
    <mergeCell ref="D79:F79"/>
    <mergeCell ref="B80:C80"/>
    <mergeCell ref="B85:C85"/>
    <mergeCell ref="D85:F85"/>
    <mergeCell ref="B86:C86"/>
    <mergeCell ref="B87:C87"/>
    <mergeCell ref="B88:C88"/>
    <mergeCell ref="D88:F88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Масяня</dc:creator>
  <cp:keywords/>
  <dc:description/>
  <cp:lastModifiedBy>user</cp:lastModifiedBy>
  <cp:lastPrinted>2013-04-23T12:31:20Z</cp:lastPrinted>
  <dcterms:created xsi:type="dcterms:W3CDTF">2008-10-30T15:00:56Z</dcterms:created>
  <dcterms:modified xsi:type="dcterms:W3CDTF">2013-05-22T13:28:08Z</dcterms:modified>
  <cp:category/>
  <cp:version/>
  <cp:contentType/>
  <cp:contentStatus/>
</cp:coreProperties>
</file>